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cfi/Downloads/"/>
    </mc:Choice>
  </mc:AlternateContent>
  <xr:revisionPtr revIDLastSave="0" documentId="13_ncr:1_{891546EA-DE64-D340-B51F-26E6A12860B7}" xr6:coauthVersionLast="47" xr6:coauthVersionMax="47" xr10:uidLastSave="{00000000-0000-0000-0000-000000000000}"/>
  <bookViews>
    <workbookView xWindow="0" yWindow="660" windowWidth="16380" windowHeight="8200" tabRatio="500" xr2:uid="{00000000-000D-0000-FFFF-FFFF00000000}"/>
  </bookViews>
  <sheets>
    <sheet name="Start" sheetId="1" r:id="rId1"/>
    <sheet name="1 Bedarfscheck" sheetId="2" r:id="rId2"/>
    <sheet name="2 Systemlandschaft" sheetId="3" r:id="rId3"/>
    <sheet name="3 Datenflüsse" sheetId="4" r:id="rId4"/>
    <sheet name="4 Kriterien" sheetId="5" r:id="rId5"/>
    <sheet name="5 Fragebogen" sheetId="6" r:id="rId6"/>
    <sheet name="6 Anbietervergleich" sheetId="7" r:id="rId7"/>
    <sheet name="7 Auswertung" sheetId="8" r:id="rId8"/>
    <sheet name="Listen" sheetId="9" state="hidden" r:id="rId9"/>
  </sheets>
  <definedNames>
    <definedName name="_xlnm._FilterDatabase" localSheetId="4" hidden="1">'4 Kriterien'!$A$6:$L$135</definedName>
    <definedName name="Anlass">'1 Bedarfscheck'!$D$28</definedName>
    <definedName name="Bereichstabelle">'1 Bedarfscheck'!$B$38:$D$55</definedName>
    <definedName name="Betrieb">'1 Bedarfscheck'!$D$6</definedName>
    <definedName name="Betriebstyp">'1 Bedarfscheck'!$D$7</definedName>
    <definedName name="Betriebswochen">'1 Bedarfscheck'!$D$12</definedName>
    <definedName name="Budget_einmalig">'1 Bedarfscheck'!$D$29</definedName>
    <definedName name="Budget_monat">'1 Bedarfscheck'!$D$30</definedName>
    <definedName name="Entscheid">'1 Bedarfscheck'!$D$31</definedName>
    <definedName name="Fokus">'1 Bedarfscheck'!$D$27</definedName>
    <definedName name="FokusEff">'1 Bedarfscheck'!$D$36</definedName>
    <definedName name="Mitarbeitende">'1 Bedarfscheck'!$D$10</definedName>
    <definedName name="Oeffnungstage">'1 Bedarfscheck'!$D$11</definedName>
    <definedName name="_xlnm.Print_Area" localSheetId="5">OFFSET('5 Fragebogen'!$A$1,0,0,9+COUNTIF('4 Kriterien'!$K$7:$K$135,"&gt;0"),9)</definedName>
    <definedName name="_xlnm.Print_Titles" localSheetId="2">'2 Systemlandschaft'!$13:$13</definedName>
    <definedName name="_xlnm.Print_Titles" localSheetId="3">'3 Datenflüsse'!$11:$11</definedName>
    <definedName name="_xlnm.Print_Titles" localSheetId="4">'4 Kriterien'!$6:$6</definedName>
    <definedName name="_xlnm.Print_Titles" localSheetId="5">'5 Fragebogen'!$9:$9</definedName>
    <definedName name="_xlnm.Print_Titles" localSheetId="6">'6 Anbietervergleich'!$14:$15</definedName>
    <definedName name="Q_EVENT">'1 Bedarfscheck'!$D$19</definedName>
    <definedName name="Q_MKT">'1 Bedarfscheck'!$D$23</definedName>
    <definedName name="Q_ONLINE">'1 Bedarfscheck'!$D$20</definedName>
    <definedName name="Q_PERS">'1 Bedarfscheck'!$D$21</definedName>
    <definedName name="Q_PMS">'1 Bedarfscheck'!$D$18</definedName>
    <definedName name="Q_RES">'1 Bedarfscheck'!$D$17</definedName>
    <definedName name="Q_WAWI">'1 Bedarfscheck'!$D$22</definedName>
    <definedName name="Sitzplaetze">'1 Bedarfscheck'!$D$8</definedName>
    <definedName name="Standorte">'1 Bedarfscheck'!$D$9</definedName>
    <definedName name="Stundenansatz">'1 Bedarfscheck'!$D$33</definedName>
    <definedName name="Umsatz">'1 Bedarfscheck'!$D$13</definedName>
    <definedName name="Wer">'1 Bedarfscheck'!$D$32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8" l="1"/>
  <c r="I14" i="8"/>
  <c r="K14" i="8" s="1"/>
  <c r="H14" i="8"/>
  <c r="B14" i="8"/>
  <c r="G19" i="8" s="1"/>
  <c r="J13" i="8"/>
  <c r="I13" i="8"/>
  <c r="K13" i="8" s="1"/>
  <c r="H13" i="8"/>
  <c r="B13" i="8"/>
  <c r="F19" i="8" s="1"/>
  <c r="J12" i="8"/>
  <c r="I12" i="8"/>
  <c r="K12" i="8" s="1"/>
  <c r="H12" i="8"/>
  <c r="B12" i="8"/>
  <c r="E19" i="8" s="1"/>
  <c r="J11" i="8"/>
  <c r="I11" i="8"/>
  <c r="K11" i="8" s="1"/>
  <c r="H11" i="8"/>
  <c r="B11" i="8"/>
  <c r="D19" i="8" s="1"/>
  <c r="I6" i="8"/>
  <c r="E144" i="7"/>
  <c r="C144" i="7"/>
  <c r="B144" i="7"/>
  <c r="A144" i="7"/>
  <c r="E143" i="7"/>
  <c r="C143" i="7"/>
  <c r="B143" i="7"/>
  <c r="A143" i="7"/>
  <c r="E142" i="7"/>
  <c r="C142" i="7"/>
  <c r="B142" i="7"/>
  <c r="A142" i="7"/>
  <c r="E141" i="7"/>
  <c r="C141" i="7"/>
  <c r="B141" i="7"/>
  <c r="A141" i="7"/>
  <c r="E140" i="7"/>
  <c r="C140" i="7"/>
  <c r="B140" i="7"/>
  <c r="A140" i="7"/>
  <c r="E138" i="7"/>
  <c r="C138" i="7"/>
  <c r="B138" i="7"/>
  <c r="A138" i="7"/>
  <c r="E137" i="7"/>
  <c r="C137" i="7"/>
  <c r="B137" i="7"/>
  <c r="A137" i="7"/>
  <c r="E136" i="7"/>
  <c r="C136" i="7"/>
  <c r="B136" i="7"/>
  <c r="A136" i="7"/>
  <c r="E135" i="7"/>
  <c r="C135" i="7"/>
  <c r="B135" i="7"/>
  <c r="A135" i="7"/>
  <c r="E134" i="7"/>
  <c r="C134" i="7"/>
  <c r="B134" i="7"/>
  <c r="A134" i="7"/>
  <c r="E132" i="7"/>
  <c r="C132" i="7"/>
  <c r="B132" i="7"/>
  <c r="A132" i="7"/>
  <c r="E131" i="7"/>
  <c r="C131" i="7"/>
  <c r="B131" i="7"/>
  <c r="A131" i="7"/>
  <c r="E130" i="7"/>
  <c r="C130" i="7"/>
  <c r="B130" i="7"/>
  <c r="A130" i="7"/>
  <c r="E129" i="7"/>
  <c r="C129" i="7"/>
  <c r="B129" i="7"/>
  <c r="A129" i="7"/>
  <c r="E128" i="7"/>
  <c r="C128" i="7"/>
  <c r="B128" i="7"/>
  <c r="A128" i="7"/>
  <c r="E127" i="7"/>
  <c r="C127" i="7"/>
  <c r="B127" i="7"/>
  <c r="A127" i="7"/>
  <c r="E125" i="7"/>
  <c r="C125" i="7"/>
  <c r="B125" i="7"/>
  <c r="A125" i="7"/>
  <c r="E124" i="7"/>
  <c r="C124" i="7"/>
  <c r="B124" i="7"/>
  <c r="A124" i="7"/>
  <c r="E123" i="7"/>
  <c r="C123" i="7"/>
  <c r="B123" i="7"/>
  <c r="A123" i="7"/>
  <c r="E122" i="7"/>
  <c r="C122" i="7"/>
  <c r="B122" i="7"/>
  <c r="A122" i="7"/>
  <c r="E121" i="7"/>
  <c r="C121" i="7"/>
  <c r="B121" i="7"/>
  <c r="A121" i="7"/>
  <c r="E119" i="7"/>
  <c r="C119" i="7"/>
  <c r="B119" i="7"/>
  <c r="A119" i="7"/>
  <c r="E118" i="7"/>
  <c r="C118" i="7"/>
  <c r="B118" i="7"/>
  <c r="A118" i="7"/>
  <c r="E117" i="7"/>
  <c r="C117" i="7"/>
  <c r="B117" i="7"/>
  <c r="A117" i="7"/>
  <c r="E116" i="7"/>
  <c r="C116" i="7"/>
  <c r="B116" i="7"/>
  <c r="A116" i="7"/>
  <c r="E115" i="7"/>
  <c r="C115" i="7"/>
  <c r="B115" i="7"/>
  <c r="A115" i="7"/>
  <c r="E114" i="7"/>
  <c r="C114" i="7"/>
  <c r="B114" i="7"/>
  <c r="A114" i="7"/>
  <c r="E112" i="7"/>
  <c r="C112" i="7"/>
  <c r="B112" i="7"/>
  <c r="A112" i="7"/>
  <c r="E111" i="7"/>
  <c r="C111" i="7"/>
  <c r="B111" i="7"/>
  <c r="A111" i="7"/>
  <c r="E110" i="7"/>
  <c r="C110" i="7"/>
  <c r="B110" i="7"/>
  <c r="A110" i="7"/>
  <c r="E109" i="7"/>
  <c r="C109" i="7"/>
  <c r="B109" i="7"/>
  <c r="A109" i="7"/>
  <c r="E108" i="7"/>
  <c r="C108" i="7"/>
  <c r="B108" i="7"/>
  <c r="A108" i="7"/>
  <c r="E106" i="7"/>
  <c r="C106" i="7"/>
  <c r="B106" i="7"/>
  <c r="A106" i="7"/>
  <c r="E105" i="7"/>
  <c r="C105" i="7"/>
  <c r="B105" i="7"/>
  <c r="A105" i="7"/>
  <c r="E104" i="7"/>
  <c r="C104" i="7"/>
  <c r="B104" i="7"/>
  <c r="A104" i="7"/>
  <c r="E103" i="7"/>
  <c r="C103" i="7"/>
  <c r="B103" i="7"/>
  <c r="A103" i="7"/>
  <c r="E101" i="7"/>
  <c r="C101" i="7"/>
  <c r="B101" i="7"/>
  <c r="A101" i="7"/>
  <c r="E100" i="7"/>
  <c r="C100" i="7"/>
  <c r="B100" i="7"/>
  <c r="A100" i="7"/>
  <c r="E99" i="7"/>
  <c r="C99" i="7"/>
  <c r="B99" i="7"/>
  <c r="A99" i="7"/>
  <c r="E98" i="7"/>
  <c r="C98" i="7"/>
  <c r="B98" i="7"/>
  <c r="A98" i="7"/>
  <c r="E97" i="7"/>
  <c r="C97" i="7"/>
  <c r="B97" i="7"/>
  <c r="A97" i="7"/>
  <c r="E96" i="7"/>
  <c r="C96" i="7"/>
  <c r="B96" i="7"/>
  <c r="A96" i="7"/>
  <c r="E95" i="7"/>
  <c r="C95" i="7"/>
  <c r="B95" i="7"/>
  <c r="A95" i="7"/>
  <c r="E93" i="7"/>
  <c r="C93" i="7"/>
  <c r="B93" i="7"/>
  <c r="A93" i="7"/>
  <c r="E92" i="7"/>
  <c r="C92" i="7"/>
  <c r="B92" i="7"/>
  <c r="A92" i="7"/>
  <c r="E91" i="7"/>
  <c r="C91" i="7"/>
  <c r="B91" i="7"/>
  <c r="A91" i="7"/>
  <c r="E90" i="7"/>
  <c r="C90" i="7"/>
  <c r="B90" i="7"/>
  <c r="A90" i="7"/>
  <c r="E89" i="7"/>
  <c r="C89" i="7"/>
  <c r="B89" i="7"/>
  <c r="A89" i="7"/>
  <c r="E88" i="7"/>
  <c r="C88" i="7"/>
  <c r="B88" i="7"/>
  <c r="A88" i="7"/>
  <c r="E86" i="7"/>
  <c r="C86" i="7"/>
  <c r="B86" i="7"/>
  <c r="A86" i="7"/>
  <c r="E85" i="7"/>
  <c r="C85" i="7"/>
  <c r="B85" i="7"/>
  <c r="A85" i="7"/>
  <c r="E84" i="7"/>
  <c r="C84" i="7"/>
  <c r="B84" i="7"/>
  <c r="A84" i="7"/>
  <c r="E83" i="7"/>
  <c r="C83" i="7"/>
  <c r="B83" i="7"/>
  <c r="A83" i="7"/>
  <c r="E82" i="7"/>
  <c r="C82" i="7"/>
  <c r="B82" i="7"/>
  <c r="A82" i="7"/>
  <c r="E81" i="7"/>
  <c r="C81" i="7"/>
  <c r="B81" i="7"/>
  <c r="A81" i="7"/>
  <c r="E80" i="7"/>
  <c r="C80" i="7"/>
  <c r="B80" i="7"/>
  <c r="A80" i="7"/>
  <c r="E78" i="7"/>
  <c r="C78" i="7"/>
  <c r="B78" i="7"/>
  <c r="A78" i="7"/>
  <c r="E77" i="7"/>
  <c r="C77" i="7"/>
  <c r="B77" i="7"/>
  <c r="A77" i="7"/>
  <c r="E76" i="7"/>
  <c r="C76" i="7"/>
  <c r="B76" i="7"/>
  <c r="A76" i="7"/>
  <c r="E75" i="7"/>
  <c r="C75" i="7"/>
  <c r="B75" i="7"/>
  <c r="A75" i="7"/>
  <c r="E74" i="7"/>
  <c r="C74" i="7"/>
  <c r="B74" i="7"/>
  <c r="A74" i="7"/>
  <c r="E73" i="7"/>
  <c r="C73" i="7"/>
  <c r="B73" i="7"/>
  <c r="A73" i="7"/>
  <c r="E72" i="7"/>
  <c r="C72" i="7"/>
  <c r="B72" i="7"/>
  <c r="A72" i="7"/>
  <c r="E70" i="7"/>
  <c r="C70" i="7"/>
  <c r="B70" i="7"/>
  <c r="A70" i="7"/>
  <c r="E69" i="7"/>
  <c r="C69" i="7"/>
  <c r="B69" i="7"/>
  <c r="A69" i="7"/>
  <c r="E68" i="7"/>
  <c r="C68" i="7"/>
  <c r="B68" i="7"/>
  <c r="A68" i="7"/>
  <c r="E67" i="7"/>
  <c r="C67" i="7"/>
  <c r="B67" i="7"/>
  <c r="A67" i="7"/>
  <c r="E66" i="7"/>
  <c r="C66" i="7"/>
  <c r="B66" i="7"/>
  <c r="A66" i="7"/>
  <c r="E65" i="7"/>
  <c r="C65" i="7"/>
  <c r="B65" i="7"/>
  <c r="A65" i="7"/>
  <c r="E64" i="7"/>
  <c r="C64" i="7"/>
  <c r="B64" i="7"/>
  <c r="A64" i="7"/>
  <c r="E63" i="7"/>
  <c r="C63" i="7"/>
  <c r="B63" i="7"/>
  <c r="A63" i="7"/>
  <c r="E61" i="7"/>
  <c r="C61" i="7"/>
  <c r="B61" i="7"/>
  <c r="A61" i="7"/>
  <c r="E60" i="7"/>
  <c r="C60" i="7"/>
  <c r="B60" i="7"/>
  <c r="A60" i="7"/>
  <c r="E59" i="7"/>
  <c r="C59" i="7"/>
  <c r="B59" i="7"/>
  <c r="A59" i="7"/>
  <c r="E58" i="7"/>
  <c r="C58" i="7"/>
  <c r="B58" i="7"/>
  <c r="A58" i="7"/>
  <c r="E57" i="7"/>
  <c r="C57" i="7"/>
  <c r="B57" i="7"/>
  <c r="A57" i="7"/>
  <c r="E56" i="7"/>
  <c r="C56" i="7"/>
  <c r="B56" i="7"/>
  <c r="A56" i="7"/>
  <c r="E55" i="7"/>
  <c r="C55" i="7"/>
  <c r="B55" i="7"/>
  <c r="A55" i="7"/>
  <c r="E54" i="7"/>
  <c r="C54" i="7"/>
  <c r="B54" i="7"/>
  <c r="A54" i="7"/>
  <c r="E53" i="7"/>
  <c r="C53" i="7"/>
  <c r="B53" i="7"/>
  <c r="A53" i="7"/>
  <c r="E52" i="7"/>
  <c r="C52" i="7"/>
  <c r="B52" i="7"/>
  <c r="A52" i="7"/>
  <c r="E51" i="7"/>
  <c r="C51" i="7"/>
  <c r="B51" i="7"/>
  <c r="A51" i="7"/>
  <c r="E49" i="7"/>
  <c r="C49" i="7"/>
  <c r="B49" i="7"/>
  <c r="A49" i="7"/>
  <c r="E48" i="7"/>
  <c r="C48" i="7"/>
  <c r="B48" i="7"/>
  <c r="A48" i="7"/>
  <c r="E47" i="7"/>
  <c r="C47" i="7"/>
  <c r="B47" i="7"/>
  <c r="A47" i="7"/>
  <c r="E46" i="7"/>
  <c r="C46" i="7"/>
  <c r="B46" i="7"/>
  <c r="A46" i="7"/>
  <c r="E45" i="7"/>
  <c r="C45" i="7"/>
  <c r="B45" i="7"/>
  <c r="A45" i="7"/>
  <c r="E44" i="7"/>
  <c r="C44" i="7"/>
  <c r="B44" i="7"/>
  <c r="A44" i="7"/>
  <c r="E43" i="7"/>
  <c r="C43" i="7"/>
  <c r="B43" i="7"/>
  <c r="A43" i="7"/>
  <c r="E42" i="7"/>
  <c r="C42" i="7"/>
  <c r="B42" i="7"/>
  <c r="A42" i="7"/>
  <c r="E41" i="7"/>
  <c r="C41" i="7"/>
  <c r="B41" i="7"/>
  <c r="A41" i="7"/>
  <c r="E40" i="7"/>
  <c r="C40" i="7"/>
  <c r="B40" i="7"/>
  <c r="A40" i="7"/>
  <c r="E39" i="7"/>
  <c r="C39" i="7"/>
  <c r="B39" i="7"/>
  <c r="A39" i="7"/>
  <c r="E38" i="7"/>
  <c r="C38" i="7"/>
  <c r="B38" i="7"/>
  <c r="A38" i="7"/>
  <c r="E36" i="7"/>
  <c r="C36" i="7"/>
  <c r="B36" i="7"/>
  <c r="A36" i="7"/>
  <c r="E35" i="7"/>
  <c r="C35" i="7"/>
  <c r="B35" i="7"/>
  <c r="A35" i="7"/>
  <c r="E34" i="7"/>
  <c r="C34" i="7"/>
  <c r="B34" i="7"/>
  <c r="A34" i="7"/>
  <c r="E33" i="7"/>
  <c r="C33" i="7"/>
  <c r="B33" i="7"/>
  <c r="A33" i="7"/>
  <c r="E32" i="7"/>
  <c r="C32" i="7"/>
  <c r="B32" i="7"/>
  <c r="A32" i="7"/>
  <c r="E31" i="7"/>
  <c r="C31" i="7"/>
  <c r="B31" i="7"/>
  <c r="A31" i="7"/>
  <c r="E30" i="7"/>
  <c r="C30" i="7"/>
  <c r="B30" i="7"/>
  <c r="A30" i="7"/>
  <c r="E29" i="7"/>
  <c r="C29" i="7"/>
  <c r="B29" i="7"/>
  <c r="A29" i="7"/>
  <c r="E28" i="7"/>
  <c r="C28" i="7"/>
  <c r="B28" i="7"/>
  <c r="A28" i="7"/>
  <c r="E26" i="7"/>
  <c r="C26" i="7"/>
  <c r="B26" i="7"/>
  <c r="A26" i="7"/>
  <c r="E25" i="7"/>
  <c r="C25" i="7"/>
  <c r="B25" i="7"/>
  <c r="A25" i="7"/>
  <c r="E24" i="7"/>
  <c r="C24" i="7"/>
  <c r="B24" i="7"/>
  <c r="A24" i="7"/>
  <c r="E23" i="7"/>
  <c r="C23" i="7"/>
  <c r="B23" i="7"/>
  <c r="A23" i="7"/>
  <c r="E22" i="7"/>
  <c r="C22" i="7"/>
  <c r="B22" i="7"/>
  <c r="A22" i="7"/>
  <c r="E21" i="7"/>
  <c r="C21" i="7"/>
  <c r="B21" i="7"/>
  <c r="A21" i="7"/>
  <c r="E20" i="7"/>
  <c r="C20" i="7"/>
  <c r="B20" i="7"/>
  <c r="A20" i="7"/>
  <c r="E19" i="7"/>
  <c r="C19" i="7"/>
  <c r="B19" i="7"/>
  <c r="A19" i="7"/>
  <c r="E18" i="7"/>
  <c r="C18" i="7"/>
  <c r="B18" i="7"/>
  <c r="A18" i="7"/>
  <c r="E17" i="7"/>
  <c r="C17" i="7"/>
  <c r="B17" i="7"/>
  <c r="A17" i="7"/>
  <c r="O14" i="7"/>
  <c r="L14" i="7"/>
  <c r="I14" i="7"/>
  <c r="F14" i="7"/>
  <c r="D5" i="6"/>
  <c r="D4" i="6"/>
  <c r="D2" i="6"/>
  <c r="I30" i="4"/>
  <c r="J30" i="4" s="1"/>
  <c r="I29" i="4"/>
  <c r="J29" i="4" s="1"/>
  <c r="I28" i="4"/>
  <c r="J28" i="4" s="1"/>
  <c r="I27" i="4"/>
  <c r="J27" i="4" s="1"/>
  <c r="I26" i="4"/>
  <c r="J26" i="4" s="1"/>
  <c r="I25" i="4"/>
  <c r="J25" i="4" s="1"/>
  <c r="I24" i="4"/>
  <c r="J24" i="4" s="1"/>
  <c r="I23" i="4"/>
  <c r="J23" i="4" s="1"/>
  <c r="I22" i="4"/>
  <c r="J22" i="4" s="1"/>
  <c r="I21" i="4"/>
  <c r="J21" i="4" s="1"/>
  <c r="I20" i="4"/>
  <c r="J20" i="4" s="1"/>
  <c r="I19" i="4"/>
  <c r="J19" i="4" s="1"/>
  <c r="I18" i="4"/>
  <c r="J18" i="4" s="1"/>
  <c r="I17" i="4"/>
  <c r="J17" i="4" s="1"/>
  <c r="I16" i="4"/>
  <c r="J16" i="4" s="1"/>
  <c r="I15" i="4"/>
  <c r="J15" i="4" s="1"/>
  <c r="I14" i="4"/>
  <c r="J14" i="4" s="1"/>
  <c r="I13" i="4"/>
  <c r="J13" i="4" s="1"/>
  <c r="D9" i="4"/>
  <c r="D7" i="4"/>
  <c r="C6" i="8" s="1"/>
  <c r="D6" i="4"/>
  <c r="D5" i="4"/>
  <c r="L37" i="3"/>
  <c r="I37" i="3"/>
  <c r="M37" i="3" s="1"/>
  <c r="L36" i="3"/>
  <c r="I36" i="3"/>
  <c r="M36" i="3" s="1"/>
  <c r="L35" i="3"/>
  <c r="I35" i="3"/>
  <c r="M35" i="3" s="1"/>
  <c r="L34" i="3"/>
  <c r="I34" i="3"/>
  <c r="M34" i="3" s="1"/>
  <c r="L33" i="3"/>
  <c r="I33" i="3"/>
  <c r="M33" i="3" s="1"/>
  <c r="L32" i="3"/>
  <c r="I32" i="3"/>
  <c r="M32" i="3" s="1"/>
  <c r="L31" i="3"/>
  <c r="I31" i="3"/>
  <c r="M31" i="3" s="1"/>
  <c r="L30" i="3"/>
  <c r="I30" i="3"/>
  <c r="M30" i="3" s="1"/>
  <c r="L29" i="3"/>
  <c r="I29" i="3"/>
  <c r="M29" i="3" s="1"/>
  <c r="L28" i="3"/>
  <c r="I28" i="3"/>
  <c r="M28" i="3" s="1"/>
  <c r="L27" i="3"/>
  <c r="I27" i="3"/>
  <c r="M27" i="3" s="1"/>
  <c r="L26" i="3"/>
  <c r="I26" i="3"/>
  <c r="M26" i="3" s="1"/>
  <c r="L25" i="3"/>
  <c r="I25" i="3"/>
  <c r="M25" i="3" s="1"/>
  <c r="L24" i="3"/>
  <c r="I24" i="3"/>
  <c r="M24" i="3" s="1"/>
  <c r="L23" i="3"/>
  <c r="I23" i="3"/>
  <c r="M23" i="3" s="1"/>
  <c r="L22" i="3"/>
  <c r="I22" i="3"/>
  <c r="M22" i="3" s="1"/>
  <c r="L21" i="3"/>
  <c r="I21" i="3"/>
  <c r="M21" i="3" s="1"/>
  <c r="L20" i="3"/>
  <c r="I20" i="3"/>
  <c r="M20" i="3" s="1"/>
  <c r="L19" i="3"/>
  <c r="I19" i="3"/>
  <c r="M19" i="3" s="1"/>
  <c r="L18" i="3"/>
  <c r="I18" i="3"/>
  <c r="M18" i="3" s="1"/>
  <c r="L17" i="3"/>
  <c r="I17" i="3"/>
  <c r="M17" i="3" s="1"/>
  <c r="L16" i="3"/>
  <c r="I16" i="3"/>
  <c r="M16" i="3" s="1"/>
  <c r="L15" i="3"/>
  <c r="I15" i="3"/>
  <c r="M15" i="3" s="1"/>
  <c r="D10" i="3"/>
  <c r="K6" i="8" s="1"/>
  <c r="D8" i="3"/>
  <c r="D9" i="3" s="1"/>
  <c r="B6" i="8" s="1"/>
  <c r="D7" i="3"/>
  <c r="D6" i="3"/>
  <c r="D5" i="3"/>
  <c r="D39" i="2"/>
  <c r="D38" i="2"/>
  <c r="D36" i="2"/>
  <c r="D11" i="3" l="1"/>
  <c r="M6" i="8" s="1"/>
  <c r="L14" i="8"/>
  <c r="M14" i="8"/>
  <c r="G35" i="8"/>
  <c r="G25" i="8"/>
  <c r="G26" i="8"/>
  <c r="G24" i="8"/>
  <c r="G29" i="8"/>
  <c r="G31" i="8"/>
  <c r="G34" i="8"/>
  <c r="G27" i="8"/>
  <c r="G28" i="8"/>
  <c r="G22" i="8"/>
  <c r="G33" i="8"/>
  <c r="G21" i="8"/>
  <c r="G32" i="8"/>
  <c r="G20" i="8"/>
  <c r="G30" i="8"/>
  <c r="O14" i="8"/>
  <c r="N14" i="8" s="1"/>
  <c r="G23" i="8"/>
  <c r="L13" i="8"/>
  <c r="M13" i="8"/>
  <c r="F22" i="8"/>
  <c r="F26" i="8"/>
  <c r="F23" i="8"/>
  <c r="F24" i="8"/>
  <c r="F28" i="8"/>
  <c r="F33" i="8"/>
  <c r="F34" i="8"/>
  <c r="F27" i="8"/>
  <c r="F31" i="8"/>
  <c r="O13" i="8"/>
  <c r="N13" i="8" s="1"/>
  <c r="F30" i="8"/>
  <c r="F32" i="8"/>
  <c r="F29" i="8"/>
  <c r="F20" i="8"/>
  <c r="F21" i="8"/>
  <c r="F35" i="8"/>
  <c r="F25" i="8"/>
  <c r="M12" i="8"/>
  <c r="L12" i="8"/>
  <c r="E32" i="8"/>
  <c r="E34" i="8"/>
  <c r="E25" i="8"/>
  <c r="E35" i="8"/>
  <c r="E27" i="8"/>
  <c r="E29" i="8"/>
  <c r="E31" i="8"/>
  <c r="E33" i="8"/>
  <c r="E22" i="8"/>
  <c r="E21" i="8"/>
  <c r="E20" i="8"/>
  <c r="O12" i="8"/>
  <c r="N12" i="8" s="1"/>
  <c r="E30" i="8"/>
  <c r="E24" i="8"/>
  <c r="E23" i="8"/>
  <c r="E26" i="8"/>
  <c r="E28" i="8"/>
  <c r="M11" i="8"/>
  <c r="L11" i="8"/>
  <c r="D24" i="8"/>
  <c r="D34" i="8"/>
  <c r="D30" i="8"/>
  <c r="D20" i="8"/>
  <c r="D22" i="8"/>
  <c r="D35" i="8"/>
  <c r="D27" i="8"/>
  <c r="D29" i="8"/>
  <c r="D25" i="8"/>
  <c r="D31" i="8"/>
  <c r="D33" i="8"/>
  <c r="O11" i="8"/>
  <c r="N11" i="8" s="1"/>
  <c r="D23" i="8"/>
  <c r="D26" i="8"/>
  <c r="D32" i="8"/>
  <c r="D21" i="8"/>
  <c r="D28" i="8"/>
  <c r="F14" i="8"/>
  <c r="F13" i="8"/>
  <c r="F11" i="8"/>
  <c r="F12" i="8"/>
  <c r="F110" i="5"/>
  <c r="K110" i="5" s="1"/>
  <c r="F17" i="5"/>
  <c r="K17" i="5" s="1"/>
  <c r="F118" i="5"/>
  <c r="K118" i="5" s="1"/>
  <c r="F114" i="5"/>
  <c r="K114" i="5" s="1"/>
  <c r="F105" i="5"/>
  <c r="K105" i="5" s="1"/>
  <c r="F121" i="5"/>
  <c r="K121" i="5" s="1"/>
  <c r="F135" i="5"/>
  <c r="K135" i="5" s="1"/>
  <c r="F120" i="5"/>
  <c r="K120" i="5" s="1"/>
  <c r="F122" i="5"/>
  <c r="K122" i="5" s="1"/>
  <c r="F134" i="5"/>
  <c r="K134" i="5" s="1"/>
  <c r="F126" i="5"/>
  <c r="K126" i="5" s="1"/>
  <c r="F40" i="5"/>
  <c r="K40" i="5" s="1"/>
  <c r="F39" i="5"/>
  <c r="K39" i="5" s="1"/>
  <c r="F38" i="5"/>
  <c r="K38" i="5" s="1"/>
  <c r="F27" i="5"/>
  <c r="K27" i="5" s="1"/>
  <c r="F26" i="5"/>
  <c r="K26" i="5" s="1"/>
  <c r="F25" i="5"/>
  <c r="K25" i="5" s="1"/>
  <c r="F132" i="5"/>
  <c r="K132" i="5" s="1"/>
  <c r="F123" i="5"/>
  <c r="K123" i="5" s="1"/>
  <c r="F112" i="5"/>
  <c r="K112" i="5" s="1"/>
  <c r="F113" i="5"/>
  <c r="K113" i="5" s="1"/>
  <c r="F24" i="5"/>
  <c r="K24" i="5" s="1"/>
  <c r="F23" i="5"/>
  <c r="K23" i="5" s="1"/>
  <c r="F22" i="5"/>
  <c r="K22" i="5" s="1"/>
  <c r="F21" i="5"/>
  <c r="K21" i="5" s="1"/>
  <c r="F20" i="5"/>
  <c r="K20" i="5" s="1"/>
  <c r="F19" i="5"/>
  <c r="K19" i="5" s="1"/>
  <c r="F119" i="5"/>
  <c r="K119" i="5" s="1"/>
  <c r="F16" i="5"/>
  <c r="K16" i="5" s="1"/>
  <c r="F15" i="5"/>
  <c r="K15" i="5" s="1"/>
  <c r="F14" i="5"/>
  <c r="K14" i="5" s="1"/>
  <c r="F13" i="5"/>
  <c r="K13" i="5" s="1"/>
  <c r="F12" i="5"/>
  <c r="K12" i="5" s="1"/>
  <c r="F11" i="5"/>
  <c r="K11" i="5" s="1"/>
  <c r="F10" i="5"/>
  <c r="K10" i="5" s="1"/>
  <c r="F9" i="5"/>
  <c r="K9" i="5" s="1"/>
  <c r="F8" i="5"/>
  <c r="K8" i="5" s="1"/>
  <c r="F128" i="5"/>
  <c r="K128" i="5" s="1"/>
  <c r="F125" i="5"/>
  <c r="K125" i="5" s="1"/>
  <c r="F131" i="5"/>
  <c r="K131" i="5" s="1"/>
  <c r="F129" i="5"/>
  <c r="K129" i="5" s="1"/>
  <c r="F115" i="5"/>
  <c r="K115" i="5" s="1"/>
  <c r="F116" i="5"/>
  <c r="K116" i="5" s="1"/>
  <c r="F127" i="5"/>
  <c r="K127" i="5" s="1"/>
  <c r="F109" i="5"/>
  <c r="K109" i="5" s="1"/>
  <c r="F107" i="5"/>
  <c r="K107" i="5" s="1"/>
  <c r="F133" i="5"/>
  <c r="K133" i="5" s="1"/>
  <c r="F106" i="5"/>
  <c r="K106" i="5" s="1"/>
  <c r="F108" i="5"/>
  <c r="K108" i="5" s="1"/>
  <c r="D41" i="2"/>
  <c r="D42" i="2"/>
  <c r="D43" i="2"/>
  <c r="D44" i="2"/>
  <c r="D45" i="2"/>
  <c r="D46" i="2"/>
  <c r="D47" i="2"/>
  <c r="D48" i="2"/>
  <c r="F29" i="5" s="1"/>
  <c r="K29" i="5" s="1"/>
  <c r="D49" i="2"/>
  <c r="F30" i="5" s="1"/>
  <c r="K30" i="5" s="1"/>
  <c r="D50" i="2"/>
  <c r="F31" i="5" s="1"/>
  <c r="K31" i="5" s="1"/>
  <c r="D51" i="2"/>
  <c r="F32" i="5" s="1"/>
  <c r="K32" i="5" s="1"/>
  <c r="D52" i="2"/>
  <c r="F33" i="5" s="1"/>
  <c r="K33" i="5" s="1"/>
  <c r="D53" i="2"/>
  <c r="F34" i="5" s="1"/>
  <c r="K34" i="5" s="1"/>
  <c r="D54" i="2"/>
  <c r="F35" i="5" s="1"/>
  <c r="K35" i="5" s="1"/>
  <c r="D55" i="2"/>
  <c r="F37" i="5" s="1"/>
  <c r="K37" i="5" s="1"/>
  <c r="D40" i="2"/>
  <c r="D3" i="6"/>
  <c r="D8" i="4"/>
  <c r="E6" i="8" s="1"/>
  <c r="G6" i="8" s="1"/>
  <c r="B7" i="8" s="1"/>
  <c r="D119" i="7" l="1"/>
  <c r="M17" i="5"/>
  <c r="D26" i="7"/>
  <c r="D127" i="7"/>
  <c r="D123" i="7"/>
  <c r="D114" i="7"/>
  <c r="D130" i="7"/>
  <c r="D144" i="7"/>
  <c r="M135" i="5"/>
  <c r="D129" i="7"/>
  <c r="D131" i="7"/>
  <c r="D143" i="7"/>
  <c r="M134" i="5"/>
  <c r="D135" i="7"/>
  <c r="M40" i="5"/>
  <c r="D49" i="7"/>
  <c r="M39" i="5"/>
  <c r="D48" i="7"/>
  <c r="M38" i="5"/>
  <c r="D47" i="7"/>
  <c r="M27" i="5"/>
  <c r="D36" i="7"/>
  <c r="M26" i="5"/>
  <c r="D35" i="7"/>
  <c r="M25" i="5"/>
  <c r="D34" i="7"/>
  <c r="M132" i="5"/>
  <c r="D141" i="7"/>
  <c r="D132" i="7"/>
  <c r="D121" i="7"/>
  <c r="D122" i="7"/>
  <c r="M24" i="5"/>
  <c r="D33" i="7"/>
  <c r="M23" i="5"/>
  <c r="D32" i="7"/>
  <c r="M22" i="5"/>
  <c r="D31" i="7"/>
  <c r="M21" i="5"/>
  <c r="D30" i="7"/>
  <c r="M20" i="5"/>
  <c r="D29" i="7"/>
  <c r="M19" i="5"/>
  <c r="D28" i="7"/>
  <c r="D128" i="7"/>
  <c r="M16" i="5"/>
  <c r="D25" i="7"/>
  <c r="M15" i="5"/>
  <c r="D24" i="7"/>
  <c r="M14" i="5"/>
  <c r="D23" i="7"/>
  <c r="M13" i="5"/>
  <c r="D22" i="7"/>
  <c r="M12" i="5"/>
  <c r="D21" i="7"/>
  <c r="M11" i="5"/>
  <c r="D20" i="7"/>
  <c r="M10" i="5"/>
  <c r="D19" i="7"/>
  <c r="M9" i="5"/>
  <c r="D18" i="7"/>
  <c r="M8" i="5"/>
  <c r="D17" i="7"/>
  <c r="D137" i="7"/>
  <c r="D134" i="7"/>
  <c r="D140" i="7"/>
  <c r="M131" i="5"/>
  <c r="D138" i="7"/>
  <c r="D124" i="7"/>
  <c r="D125" i="7"/>
  <c r="D136" i="7"/>
  <c r="D118" i="7"/>
  <c r="D116" i="7"/>
  <c r="D142" i="7"/>
  <c r="M133" i="5"/>
  <c r="D115" i="7"/>
  <c r="D117" i="7"/>
  <c r="F54" i="5"/>
  <c r="K54" i="5" s="1"/>
  <c r="F55" i="5"/>
  <c r="K55" i="5" s="1"/>
  <c r="F56" i="5"/>
  <c r="K56" i="5" s="1"/>
  <c r="F57" i="5"/>
  <c r="K57" i="5" s="1"/>
  <c r="F58" i="5"/>
  <c r="K58" i="5" s="1"/>
  <c r="F59" i="5"/>
  <c r="K59" i="5" s="1"/>
  <c r="F60" i="5"/>
  <c r="K60" i="5" s="1"/>
  <c r="F61" i="5"/>
  <c r="K61" i="5" s="1"/>
  <c r="F63" i="5"/>
  <c r="K63" i="5" s="1"/>
  <c r="F64" i="5"/>
  <c r="K64" i="5" s="1"/>
  <c r="F65" i="5"/>
  <c r="K65" i="5" s="1"/>
  <c r="F66" i="5"/>
  <c r="K66" i="5" s="1"/>
  <c r="F67" i="5"/>
  <c r="K67" i="5" s="1"/>
  <c r="F68" i="5"/>
  <c r="K68" i="5" s="1"/>
  <c r="F69" i="5"/>
  <c r="K69" i="5" s="1"/>
  <c r="F71" i="5"/>
  <c r="K71" i="5" s="1"/>
  <c r="F72" i="5"/>
  <c r="K72" i="5" s="1"/>
  <c r="F73" i="5"/>
  <c r="K73" i="5" s="1"/>
  <c r="F74" i="5"/>
  <c r="K74" i="5" s="1"/>
  <c r="F75" i="5"/>
  <c r="K75" i="5" s="1"/>
  <c r="F76" i="5"/>
  <c r="K76" i="5" s="1"/>
  <c r="F77" i="5"/>
  <c r="K77" i="5" s="1"/>
  <c r="F79" i="5"/>
  <c r="K79" i="5" s="1"/>
  <c r="F80" i="5"/>
  <c r="K80" i="5" s="1"/>
  <c r="F81" i="5"/>
  <c r="K81" i="5" s="1"/>
  <c r="F82" i="5"/>
  <c r="K82" i="5" s="1"/>
  <c r="F83" i="5"/>
  <c r="K83" i="5" s="1"/>
  <c r="F84" i="5"/>
  <c r="K84" i="5" s="1"/>
  <c r="F86" i="5"/>
  <c r="K86" i="5" s="1"/>
  <c r="F87" i="5"/>
  <c r="K87" i="5" s="1"/>
  <c r="F88" i="5"/>
  <c r="K88" i="5" s="1"/>
  <c r="F89" i="5"/>
  <c r="K89" i="5" s="1"/>
  <c r="F90" i="5"/>
  <c r="K90" i="5" s="1"/>
  <c r="F91" i="5"/>
  <c r="K91" i="5" s="1"/>
  <c r="F92" i="5"/>
  <c r="K92" i="5" s="1"/>
  <c r="F95" i="5"/>
  <c r="K95" i="5" s="1"/>
  <c r="F36" i="5"/>
  <c r="K36" i="5" s="1"/>
  <c r="M112" i="5" s="1"/>
  <c r="F94" i="5"/>
  <c r="K94" i="5" s="1"/>
  <c r="F96" i="5"/>
  <c r="K96" i="5" s="1"/>
  <c r="F97" i="5"/>
  <c r="K97" i="5" s="1"/>
  <c r="F99" i="5"/>
  <c r="K99" i="5" s="1"/>
  <c r="F101" i="5"/>
  <c r="K101" i="5" s="1"/>
  <c r="F102" i="5"/>
  <c r="K102" i="5" s="1"/>
  <c r="F100" i="5"/>
  <c r="K100" i="5" s="1"/>
  <c r="F103" i="5"/>
  <c r="K103" i="5" s="1"/>
  <c r="M29" i="5"/>
  <c r="D38" i="7"/>
  <c r="M30" i="5"/>
  <c r="D39" i="7"/>
  <c r="M31" i="5"/>
  <c r="D40" i="7"/>
  <c r="M32" i="5"/>
  <c r="D41" i="7"/>
  <c r="M33" i="5"/>
  <c r="D42" i="7"/>
  <c r="M34" i="5"/>
  <c r="D43" i="7"/>
  <c r="M35" i="5"/>
  <c r="D44" i="7"/>
  <c r="M37" i="5"/>
  <c r="D46" i="7"/>
  <c r="F42" i="5"/>
  <c r="K42" i="5" s="1"/>
  <c r="F43" i="5"/>
  <c r="K43" i="5" s="1"/>
  <c r="F44" i="5"/>
  <c r="K44" i="5" s="1"/>
  <c r="F45" i="5"/>
  <c r="K45" i="5" s="1"/>
  <c r="F46" i="5"/>
  <c r="K46" i="5" s="1"/>
  <c r="F47" i="5"/>
  <c r="K47" i="5" s="1"/>
  <c r="F48" i="5"/>
  <c r="K48" i="5" s="1"/>
  <c r="F49" i="5"/>
  <c r="K49" i="5" s="1"/>
  <c r="F50" i="5"/>
  <c r="K50" i="5" s="1"/>
  <c r="F51" i="5"/>
  <c r="K51" i="5" s="1"/>
  <c r="F52" i="5"/>
  <c r="K52" i="5" s="1"/>
  <c r="G119" i="7" l="1"/>
  <c r="J119" i="7"/>
  <c r="M119" i="7"/>
  <c r="P119" i="7"/>
  <c r="G26" i="7"/>
  <c r="J26" i="7"/>
  <c r="M26" i="7"/>
  <c r="P26" i="7"/>
  <c r="G127" i="7"/>
  <c r="J127" i="7"/>
  <c r="M127" i="7"/>
  <c r="P127" i="7"/>
  <c r="C33" i="8"/>
  <c r="G123" i="7"/>
  <c r="J123" i="7"/>
  <c r="M123" i="7"/>
  <c r="P123" i="7"/>
  <c r="G114" i="7"/>
  <c r="J114" i="7"/>
  <c r="M114" i="7"/>
  <c r="P114" i="7"/>
  <c r="C31" i="8"/>
  <c r="G130" i="7"/>
  <c r="J130" i="7"/>
  <c r="M130" i="7"/>
  <c r="P130" i="7"/>
  <c r="G144" i="7"/>
  <c r="J144" i="7"/>
  <c r="M144" i="7"/>
  <c r="P144" i="7"/>
  <c r="G129" i="7"/>
  <c r="J129" i="7"/>
  <c r="M129" i="7"/>
  <c r="P129" i="7"/>
  <c r="G131" i="7"/>
  <c r="J131" i="7"/>
  <c r="M131" i="7"/>
  <c r="P131" i="7"/>
  <c r="G143" i="7"/>
  <c r="J143" i="7"/>
  <c r="M143" i="7"/>
  <c r="P143" i="7"/>
  <c r="G135" i="7"/>
  <c r="J135" i="7"/>
  <c r="M135" i="7"/>
  <c r="P135" i="7"/>
  <c r="G49" i="7"/>
  <c r="M49" i="7"/>
  <c r="J49" i="7"/>
  <c r="P49" i="7"/>
  <c r="G48" i="7"/>
  <c r="M48" i="7"/>
  <c r="J48" i="7"/>
  <c r="P48" i="7"/>
  <c r="G47" i="7"/>
  <c r="M47" i="7"/>
  <c r="P47" i="7"/>
  <c r="J47" i="7"/>
  <c r="G36" i="7"/>
  <c r="J36" i="7"/>
  <c r="M36" i="7"/>
  <c r="P36" i="7"/>
  <c r="G35" i="7"/>
  <c r="J35" i="7"/>
  <c r="M35" i="7"/>
  <c r="P35" i="7"/>
  <c r="G34" i="7"/>
  <c r="J34" i="7"/>
  <c r="M34" i="7"/>
  <c r="P34" i="7"/>
  <c r="J141" i="7"/>
  <c r="G141" i="7"/>
  <c r="M141" i="7"/>
  <c r="P141" i="7"/>
  <c r="G132" i="7"/>
  <c r="J132" i="7"/>
  <c r="M132" i="7"/>
  <c r="P132" i="7"/>
  <c r="G121" i="7"/>
  <c r="J121" i="7"/>
  <c r="M121" i="7"/>
  <c r="P121" i="7"/>
  <c r="C32" i="8"/>
  <c r="G122" i="7"/>
  <c r="J122" i="7"/>
  <c r="M122" i="7"/>
  <c r="P122" i="7"/>
  <c r="G33" i="7"/>
  <c r="J33" i="7"/>
  <c r="M33" i="7"/>
  <c r="P33" i="7"/>
  <c r="G32" i="7"/>
  <c r="J32" i="7"/>
  <c r="M32" i="7"/>
  <c r="P32" i="7"/>
  <c r="G31" i="7"/>
  <c r="J31" i="7"/>
  <c r="M31" i="7"/>
  <c r="P31" i="7"/>
  <c r="G30" i="7"/>
  <c r="J30" i="7"/>
  <c r="M30" i="7"/>
  <c r="P30" i="7"/>
  <c r="G29" i="7"/>
  <c r="J29" i="7"/>
  <c r="M29" i="7"/>
  <c r="P29" i="7"/>
  <c r="G28" i="7"/>
  <c r="J28" i="7"/>
  <c r="M28" i="7"/>
  <c r="P28" i="7"/>
  <c r="C21" i="8"/>
  <c r="G128" i="7"/>
  <c r="J128" i="7"/>
  <c r="M128" i="7"/>
  <c r="P128" i="7"/>
  <c r="G25" i="7"/>
  <c r="J25" i="7"/>
  <c r="M25" i="7"/>
  <c r="P25" i="7"/>
  <c r="G24" i="7"/>
  <c r="J24" i="7"/>
  <c r="M24" i="7"/>
  <c r="P24" i="7"/>
  <c r="G23" i="7"/>
  <c r="J23" i="7"/>
  <c r="M23" i="7"/>
  <c r="P23" i="7"/>
  <c r="G22" i="7"/>
  <c r="J22" i="7"/>
  <c r="M22" i="7"/>
  <c r="P22" i="7"/>
  <c r="G21" i="7"/>
  <c r="J21" i="7"/>
  <c r="M21" i="7"/>
  <c r="P21" i="7"/>
  <c r="G20" i="7"/>
  <c r="J20" i="7"/>
  <c r="M20" i="7"/>
  <c r="P20" i="7"/>
  <c r="G19" i="7"/>
  <c r="J19" i="7"/>
  <c r="M19" i="7"/>
  <c r="P19" i="7"/>
  <c r="G18" i="7"/>
  <c r="J18" i="7"/>
  <c r="M18" i="7"/>
  <c r="P18" i="7"/>
  <c r="B10" i="6"/>
  <c r="C10" i="6"/>
  <c r="D10" i="6"/>
  <c r="E10" i="6"/>
  <c r="F10" i="6"/>
  <c r="B11" i="6"/>
  <c r="C11" i="6"/>
  <c r="D11" i="6"/>
  <c r="E11" i="6"/>
  <c r="F11" i="6"/>
  <c r="B12" i="6"/>
  <c r="C12" i="6"/>
  <c r="D12" i="6"/>
  <c r="E12" i="6"/>
  <c r="F12" i="6"/>
  <c r="B13" i="6"/>
  <c r="C13" i="6"/>
  <c r="D13" i="6"/>
  <c r="E13" i="6"/>
  <c r="F13" i="6"/>
  <c r="B14" i="6"/>
  <c r="C14" i="6"/>
  <c r="D14" i="6"/>
  <c r="E14" i="6"/>
  <c r="F14" i="6"/>
  <c r="B15" i="6"/>
  <c r="C15" i="6"/>
  <c r="D15" i="6"/>
  <c r="E15" i="6"/>
  <c r="F15" i="6"/>
  <c r="B16" i="6"/>
  <c r="C16" i="6"/>
  <c r="D16" i="6"/>
  <c r="E16" i="6"/>
  <c r="F16" i="6"/>
  <c r="B17" i="6"/>
  <c r="C17" i="6"/>
  <c r="D17" i="6"/>
  <c r="E17" i="6"/>
  <c r="F17" i="6"/>
  <c r="B18" i="6"/>
  <c r="C18" i="6"/>
  <c r="D18" i="6"/>
  <c r="E18" i="6"/>
  <c r="F18" i="6"/>
  <c r="B19" i="6"/>
  <c r="C19" i="6"/>
  <c r="D19" i="6"/>
  <c r="E19" i="6"/>
  <c r="F19" i="6"/>
  <c r="B20" i="6"/>
  <c r="C20" i="6"/>
  <c r="D20" i="6"/>
  <c r="E20" i="6"/>
  <c r="F20" i="6"/>
  <c r="B21" i="6"/>
  <c r="C21" i="6"/>
  <c r="D21" i="6"/>
  <c r="E21" i="6"/>
  <c r="F21" i="6"/>
  <c r="B22" i="6"/>
  <c r="C22" i="6"/>
  <c r="D22" i="6"/>
  <c r="E22" i="6"/>
  <c r="F22" i="6"/>
  <c r="B23" i="6"/>
  <c r="C23" i="6"/>
  <c r="D23" i="6"/>
  <c r="E23" i="6"/>
  <c r="F23" i="6"/>
  <c r="B24" i="6"/>
  <c r="C24" i="6"/>
  <c r="D24" i="6"/>
  <c r="E24" i="6"/>
  <c r="B26" i="6"/>
  <c r="F26" i="6"/>
  <c r="F27" i="6"/>
  <c r="E28" i="6"/>
  <c r="F29" i="6"/>
  <c r="E30" i="6"/>
  <c r="E31" i="6"/>
  <c r="F33" i="6"/>
  <c r="F34" i="6"/>
  <c r="B36" i="6"/>
  <c r="B37" i="6"/>
  <c r="B38" i="6"/>
  <c r="B41" i="6"/>
  <c r="F41" i="6"/>
  <c r="F42" i="6"/>
  <c r="B25" i="6"/>
  <c r="C28" i="6"/>
  <c r="C29" i="6"/>
  <c r="C30" i="6"/>
  <c r="F30" i="6"/>
  <c r="E72" i="6"/>
  <c r="E73" i="6"/>
  <c r="D79" i="6"/>
  <c r="D81" i="6"/>
  <c r="D82" i="6"/>
  <c r="E83" i="6"/>
  <c r="D85" i="6"/>
  <c r="F87" i="6"/>
  <c r="B88" i="6"/>
  <c r="C88" i="6"/>
  <c r="D88" i="6"/>
  <c r="E88" i="6"/>
  <c r="F88" i="6"/>
  <c r="B89" i="6"/>
  <c r="C89" i="6"/>
  <c r="D89" i="6"/>
  <c r="E89" i="6"/>
  <c r="F89" i="6"/>
  <c r="B90" i="6"/>
  <c r="C90" i="6"/>
  <c r="D90" i="6"/>
  <c r="E90" i="6"/>
  <c r="F90" i="6"/>
  <c r="B91" i="6"/>
  <c r="C91" i="6"/>
  <c r="D91" i="6"/>
  <c r="E91" i="6"/>
  <c r="F91" i="6"/>
  <c r="B92" i="6"/>
  <c r="C92" i="6"/>
  <c r="D92" i="6"/>
  <c r="E92" i="6"/>
  <c r="F92" i="6"/>
  <c r="B93" i="6"/>
  <c r="C93" i="6"/>
  <c r="D93" i="6"/>
  <c r="E93" i="6"/>
  <c r="F93" i="6"/>
  <c r="B94" i="6"/>
  <c r="C94" i="6"/>
  <c r="D94" i="6"/>
  <c r="E94" i="6"/>
  <c r="F94" i="6"/>
  <c r="B95" i="6"/>
  <c r="C95" i="6"/>
  <c r="D95" i="6"/>
  <c r="E95" i="6"/>
  <c r="F95" i="6"/>
  <c r="B96" i="6"/>
  <c r="C96" i="6"/>
  <c r="D96" i="6"/>
  <c r="E96" i="6"/>
  <c r="F96" i="6"/>
  <c r="B97" i="6"/>
  <c r="C97" i="6"/>
  <c r="D97" i="6"/>
  <c r="E97" i="6"/>
  <c r="F97" i="6"/>
  <c r="B98" i="6"/>
  <c r="C98" i="6"/>
  <c r="D98" i="6"/>
  <c r="D73" i="6"/>
  <c r="D74" i="6"/>
  <c r="B75" i="6"/>
  <c r="D77" i="6"/>
  <c r="F25" i="6"/>
  <c r="E26" i="6"/>
  <c r="D29" i="6"/>
  <c r="D30" i="6"/>
  <c r="E25" i="6"/>
  <c r="D26" i="6"/>
  <c r="C27" i="6"/>
  <c r="D28" i="6"/>
  <c r="B30" i="6"/>
  <c r="F24" i="6"/>
  <c r="B28" i="6"/>
  <c r="E29" i="6"/>
  <c r="D25" i="6"/>
  <c r="B27" i="6"/>
  <c r="E27" i="6"/>
  <c r="F28" i="6"/>
  <c r="C25" i="6"/>
  <c r="C26" i="6"/>
  <c r="D27" i="6"/>
  <c r="B29" i="6"/>
  <c r="G17" i="7"/>
  <c r="M17" i="7"/>
  <c r="P17" i="7"/>
  <c r="C20" i="8"/>
  <c r="J17" i="7"/>
  <c r="G137" i="7"/>
  <c r="J137" i="7"/>
  <c r="M137" i="7"/>
  <c r="P137" i="7"/>
  <c r="G134" i="7"/>
  <c r="J134" i="7"/>
  <c r="M134" i="7"/>
  <c r="P134" i="7"/>
  <c r="C34" i="8"/>
  <c r="G140" i="7"/>
  <c r="J140" i="7"/>
  <c r="M140" i="7"/>
  <c r="P140" i="7"/>
  <c r="C35" i="8"/>
  <c r="G138" i="7"/>
  <c r="J138" i="7"/>
  <c r="M138" i="7"/>
  <c r="P138" i="7"/>
  <c r="G124" i="7"/>
  <c r="J124" i="7"/>
  <c r="M124" i="7"/>
  <c r="P124" i="7"/>
  <c r="G125" i="7"/>
  <c r="J125" i="7"/>
  <c r="M125" i="7"/>
  <c r="P125" i="7"/>
  <c r="G136" i="7"/>
  <c r="J136" i="7"/>
  <c r="M136" i="7"/>
  <c r="P136" i="7"/>
  <c r="G118" i="7"/>
  <c r="J118" i="7"/>
  <c r="M118" i="7"/>
  <c r="P118" i="7"/>
  <c r="G116" i="7"/>
  <c r="J116" i="7"/>
  <c r="M116" i="7"/>
  <c r="P116" i="7"/>
  <c r="G142" i="7"/>
  <c r="J142" i="7"/>
  <c r="M142" i="7"/>
  <c r="P142" i="7"/>
  <c r="G115" i="7"/>
  <c r="J115" i="7"/>
  <c r="M115" i="7"/>
  <c r="P115" i="7"/>
  <c r="G117" i="7"/>
  <c r="J117" i="7"/>
  <c r="M117" i="7"/>
  <c r="P117" i="7"/>
  <c r="M54" i="5"/>
  <c r="D63" i="7"/>
  <c r="M55" i="5"/>
  <c r="D64" i="7"/>
  <c r="M56" i="5"/>
  <c r="D65" i="7"/>
  <c r="M57" i="5"/>
  <c r="D66" i="7"/>
  <c r="M58" i="5"/>
  <c r="D67" i="7"/>
  <c r="M59" i="5"/>
  <c r="D68" i="7"/>
  <c r="M60" i="5"/>
  <c r="D69" i="7"/>
  <c r="M61" i="5"/>
  <c r="D70" i="7"/>
  <c r="M63" i="5"/>
  <c r="D72" i="7"/>
  <c r="M64" i="5"/>
  <c r="D73" i="7"/>
  <c r="M65" i="5"/>
  <c r="D74" i="7"/>
  <c r="M66" i="5"/>
  <c r="D75" i="7"/>
  <c r="M67" i="5"/>
  <c r="D76" i="7"/>
  <c r="M68" i="5"/>
  <c r="D77" i="7"/>
  <c r="M69" i="5"/>
  <c r="D78" i="7"/>
  <c r="M71" i="5"/>
  <c r="D80" i="7"/>
  <c r="M72" i="5"/>
  <c r="D81" i="7"/>
  <c r="M73" i="5"/>
  <c r="D82" i="7"/>
  <c r="M74" i="5"/>
  <c r="D83" i="7"/>
  <c r="M75" i="5"/>
  <c r="D84" i="7"/>
  <c r="M76" i="5"/>
  <c r="D85" i="7"/>
  <c r="M77" i="5"/>
  <c r="D86" i="7"/>
  <c r="M79" i="5"/>
  <c r="D88" i="7"/>
  <c r="M80" i="5"/>
  <c r="D89" i="7"/>
  <c r="M81" i="5"/>
  <c r="D90" i="7"/>
  <c r="M82" i="5"/>
  <c r="D91" i="7"/>
  <c r="M83" i="5"/>
  <c r="D92" i="7"/>
  <c r="M84" i="5"/>
  <c r="D93" i="7"/>
  <c r="M86" i="5"/>
  <c r="D95" i="7"/>
  <c r="M87" i="5"/>
  <c r="D96" i="7"/>
  <c r="M88" i="5"/>
  <c r="D97" i="7"/>
  <c r="M89" i="5"/>
  <c r="D98" i="7"/>
  <c r="M90" i="5"/>
  <c r="D99" i="7"/>
  <c r="M91" i="5"/>
  <c r="D100" i="7"/>
  <c r="M92" i="5"/>
  <c r="D101" i="7"/>
  <c r="M95" i="5"/>
  <c r="D104" i="7"/>
  <c r="A4" i="5"/>
  <c r="M36" i="5"/>
  <c r="D45" i="7"/>
  <c r="D103" i="7"/>
  <c r="M94" i="5"/>
  <c r="D105" i="7"/>
  <c r="M96" i="5"/>
  <c r="M97" i="5"/>
  <c r="D106" i="7"/>
  <c r="M99" i="5"/>
  <c r="D108" i="7"/>
  <c r="M101" i="5"/>
  <c r="D110" i="7"/>
  <c r="D111" i="7"/>
  <c r="M102" i="5"/>
  <c r="M100" i="5"/>
  <c r="D109" i="7"/>
  <c r="D112" i="7"/>
  <c r="M103" i="5"/>
  <c r="G38" i="7"/>
  <c r="J38" i="7"/>
  <c r="M38" i="7"/>
  <c r="P38" i="7"/>
  <c r="G39" i="7"/>
  <c r="J39" i="7"/>
  <c r="M39" i="7"/>
  <c r="P39" i="7"/>
  <c r="G40" i="7"/>
  <c r="J40" i="7"/>
  <c r="M40" i="7"/>
  <c r="P40" i="7"/>
  <c r="G41" i="7"/>
  <c r="J41" i="7"/>
  <c r="M41" i="7"/>
  <c r="P41" i="7"/>
  <c r="G42" i="7"/>
  <c r="J42" i="7"/>
  <c r="M42" i="7"/>
  <c r="P42" i="7"/>
  <c r="G43" i="7"/>
  <c r="J43" i="7"/>
  <c r="M43" i="7"/>
  <c r="P43" i="7"/>
  <c r="G44" i="7"/>
  <c r="J44" i="7"/>
  <c r="M44" i="7"/>
  <c r="P44" i="7"/>
  <c r="G46" i="7"/>
  <c r="J46" i="7"/>
  <c r="M46" i="7"/>
  <c r="P46" i="7"/>
  <c r="M42" i="5"/>
  <c r="D51" i="7"/>
  <c r="M43" i="5"/>
  <c r="D52" i="7"/>
  <c r="M44" i="5"/>
  <c r="D53" i="7"/>
  <c r="M45" i="5"/>
  <c r="D54" i="7"/>
  <c r="M46" i="5"/>
  <c r="D55" i="7"/>
  <c r="M47" i="5"/>
  <c r="D56" i="7"/>
  <c r="M48" i="5"/>
  <c r="D57" i="7"/>
  <c r="M49" i="5"/>
  <c r="D58" i="7"/>
  <c r="M50" i="5"/>
  <c r="D59" i="7"/>
  <c r="M51" i="5"/>
  <c r="D60" i="7"/>
  <c r="M52" i="5"/>
  <c r="D61" i="7"/>
  <c r="M128" i="5"/>
  <c r="M107" i="5"/>
  <c r="M108" i="5"/>
  <c r="M122" i="5"/>
  <c r="M120" i="5"/>
  <c r="M126" i="5"/>
  <c r="M106" i="5"/>
  <c r="M123" i="5"/>
  <c r="M110" i="5"/>
  <c r="M118" i="5"/>
  <c r="M114" i="5"/>
  <c r="M105" i="5"/>
  <c r="M113" i="5"/>
  <c r="M119" i="5"/>
  <c r="M125" i="5"/>
  <c r="M129" i="5"/>
  <c r="M115" i="5"/>
  <c r="M116" i="5"/>
  <c r="M127" i="5"/>
  <c r="M121" i="5"/>
  <c r="M109" i="5"/>
  <c r="G63" i="7" l="1"/>
  <c r="J63" i="7"/>
  <c r="M63" i="7"/>
  <c r="P63" i="7"/>
  <c r="C24" i="8"/>
  <c r="G64" i="7"/>
  <c r="J64" i="7"/>
  <c r="M64" i="7"/>
  <c r="P64" i="7"/>
  <c r="G65" i="7"/>
  <c r="J65" i="7"/>
  <c r="M65" i="7"/>
  <c r="P65" i="7"/>
  <c r="G66" i="7"/>
  <c r="J66" i="7"/>
  <c r="M66" i="7"/>
  <c r="P66" i="7"/>
  <c r="G67" i="7"/>
  <c r="J67" i="7"/>
  <c r="M67" i="7"/>
  <c r="P67" i="7"/>
  <c r="G68" i="7"/>
  <c r="J68" i="7"/>
  <c r="M68" i="7"/>
  <c r="P68" i="7"/>
  <c r="G69" i="7"/>
  <c r="J69" i="7"/>
  <c r="M69" i="7"/>
  <c r="P69" i="7"/>
  <c r="G70" i="7"/>
  <c r="J70" i="7"/>
  <c r="M70" i="7"/>
  <c r="P70" i="7"/>
  <c r="G72" i="7"/>
  <c r="J72" i="7"/>
  <c r="M72" i="7"/>
  <c r="P72" i="7"/>
  <c r="C25" i="8"/>
  <c r="G73" i="7"/>
  <c r="J73" i="7"/>
  <c r="M73" i="7"/>
  <c r="P73" i="7"/>
  <c r="G74" i="7"/>
  <c r="J74" i="7"/>
  <c r="M74" i="7"/>
  <c r="P74" i="7"/>
  <c r="G75" i="7"/>
  <c r="J75" i="7"/>
  <c r="M75" i="7"/>
  <c r="P75" i="7"/>
  <c r="G76" i="7"/>
  <c r="J76" i="7"/>
  <c r="M76" i="7"/>
  <c r="P76" i="7"/>
  <c r="G77" i="7"/>
  <c r="J77" i="7"/>
  <c r="M77" i="7"/>
  <c r="P77" i="7"/>
  <c r="G78" i="7"/>
  <c r="J78" i="7"/>
  <c r="M78" i="7"/>
  <c r="P78" i="7"/>
  <c r="G80" i="7"/>
  <c r="J80" i="7"/>
  <c r="M80" i="7"/>
  <c r="P80" i="7"/>
  <c r="C26" i="8"/>
  <c r="G81" i="7"/>
  <c r="J81" i="7"/>
  <c r="M81" i="7"/>
  <c r="P81" i="7"/>
  <c r="G82" i="7"/>
  <c r="J82" i="7"/>
  <c r="M82" i="7"/>
  <c r="P82" i="7"/>
  <c r="G83" i="7"/>
  <c r="J83" i="7"/>
  <c r="M83" i="7"/>
  <c r="P83" i="7"/>
  <c r="G84" i="7"/>
  <c r="J84" i="7"/>
  <c r="M84" i="7"/>
  <c r="P84" i="7"/>
  <c r="G85" i="7"/>
  <c r="J85" i="7"/>
  <c r="M85" i="7"/>
  <c r="P85" i="7"/>
  <c r="G86" i="7"/>
  <c r="J86" i="7"/>
  <c r="M86" i="7"/>
  <c r="P86" i="7"/>
  <c r="G88" i="7"/>
  <c r="J88" i="7"/>
  <c r="M88" i="7"/>
  <c r="P88" i="7"/>
  <c r="C27" i="8"/>
  <c r="G89" i="7"/>
  <c r="J89" i="7"/>
  <c r="M89" i="7"/>
  <c r="P89" i="7"/>
  <c r="G90" i="7"/>
  <c r="J90" i="7"/>
  <c r="M90" i="7"/>
  <c r="P90" i="7"/>
  <c r="G91" i="7"/>
  <c r="J91" i="7"/>
  <c r="M91" i="7"/>
  <c r="P91" i="7"/>
  <c r="G92" i="7"/>
  <c r="J92" i="7"/>
  <c r="M92" i="7"/>
  <c r="P92" i="7"/>
  <c r="G93" i="7"/>
  <c r="J93" i="7"/>
  <c r="M93" i="7"/>
  <c r="P93" i="7"/>
  <c r="G95" i="7"/>
  <c r="J95" i="7"/>
  <c r="M95" i="7"/>
  <c r="P95" i="7"/>
  <c r="C28" i="8"/>
  <c r="G96" i="7"/>
  <c r="J96" i="7"/>
  <c r="M96" i="7"/>
  <c r="P96" i="7"/>
  <c r="G97" i="7"/>
  <c r="J97" i="7"/>
  <c r="M97" i="7"/>
  <c r="P97" i="7"/>
  <c r="G98" i="7"/>
  <c r="J98" i="7"/>
  <c r="M98" i="7"/>
  <c r="P98" i="7"/>
  <c r="G99" i="7"/>
  <c r="J99" i="7"/>
  <c r="M99" i="7"/>
  <c r="P99" i="7"/>
  <c r="G100" i="7"/>
  <c r="J100" i="7"/>
  <c r="M100" i="7"/>
  <c r="P100" i="7"/>
  <c r="G101" i="7"/>
  <c r="J101" i="7"/>
  <c r="M101" i="7"/>
  <c r="P101" i="7"/>
  <c r="G104" i="7"/>
  <c r="J104" i="7"/>
  <c r="M104" i="7"/>
  <c r="P104" i="7"/>
  <c r="G45" i="7"/>
  <c r="C11" i="8" s="1"/>
  <c r="E11" i="8" s="1"/>
  <c r="J45" i="7"/>
  <c r="C12" i="8" s="1"/>
  <c r="E12" i="8" s="1"/>
  <c r="M45" i="7"/>
  <c r="C13" i="8" s="1"/>
  <c r="E13" i="8" s="1"/>
  <c r="P45" i="7"/>
  <c r="C14" i="8" s="1"/>
  <c r="E14" i="8" s="1"/>
  <c r="G103" i="7"/>
  <c r="J103" i="7"/>
  <c r="M103" i="7"/>
  <c r="P103" i="7"/>
  <c r="C29" i="8"/>
  <c r="G105" i="7"/>
  <c r="J105" i="7"/>
  <c r="M105" i="7"/>
  <c r="P105" i="7"/>
  <c r="G106" i="7"/>
  <c r="J106" i="7"/>
  <c r="M106" i="7"/>
  <c r="P106" i="7"/>
  <c r="G108" i="7"/>
  <c r="J108" i="7"/>
  <c r="M108" i="7"/>
  <c r="P108" i="7"/>
  <c r="C30" i="8"/>
  <c r="G110" i="7"/>
  <c r="J110" i="7"/>
  <c r="M110" i="7"/>
  <c r="P110" i="7"/>
  <c r="G111" i="7"/>
  <c r="J111" i="7"/>
  <c r="M111" i="7"/>
  <c r="P111" i="7"/>
  <c r="G109" i="7"/>
  <c r="J109" i="7"/>
  <c r="M109" i="7"/>
  <c r="P109" i="7"/>
  <c r="G112" i="7"/>
  <c r="J112" i="7"/>
  <c r="M112" i="7"/>
  <c r="P112" i="7"/>
  <c r="G51" i="7"/>
  <c r="J51" i="7"/>
  <c r="M51" i="7"/>
  <c r="P51" i="7"/>
  <c r="C23" i="8"/>
  <c r="G52" i="7"/>
  <c r="M52" i="7"/>
  <c r="J52" i="7"/>
  <c r="P52" i="7"/>
  <c r="G53" i="7"/>
  <c r="J53" i="7"/>
  <c r="M53" i="7"/>
  <c r="P53" i="7"/>
  <c r="G54" i="7"/>
  <c r="J54" i="7"/>
  <c r="M54" i="7"/>
  <c r="P54" i="7"/>
  <c r="G55" i="7"/>
  <c r="J55" i="7"/>
  <c r="M55" i="7"/>
  <c r="P55" i="7"/>
  <c r="G56" i="7"/>
  <c r="J56" i="7"/>
  <c r="M56" i="7"/>
  <c r="P56" i="7"/>
  <c r="G57" i="7"/>
  <c r="J57" i="7"/>
  <c r="M57" i="7"/>
  <c r="P57" i="7"/>
  <c r="G58" i="7"/>
  <c r="J58" i="7"/>
  <c r="M58" i="7"/>
  <c r="P58" i="7"/>
  <c r="G59" i="7"/>
  <c r="J59" i="7"/>
  <c r="M59" i="7"/>
  <c r="P59" i="7"/>
  <c r="G60" i="7"/>
  <c r="J60" i="7"/>
  <c r="M60" i="7"/>
  <c r="P60" i="7"/>
  <c r="G61" i="7"/>
  <c r="J61" i="7"/>
  <c r="M61" i="7"/>
  <c r="P61" i="7"/>
  <c r="C109" i="6"/>
  <c r="D44" i="6"/>
  <c r="E45" i="6"/>
  <c r="C46" i="6"/>
  <c r="C47" i="6"/>
  <c r="D48" i="6"/>
  <c r="E48" i="6"/>
  <c r="F48" i="6"/>
  <c r="B49" i="6"/>
  <c r="C49" i="6"/>
  <c r="D49" i="6"/>
  <c r="E49" i="6"/>
  <c r="F49" i="6"/>
  <c r="B50" i="6"/>
  <c r="C50" i="6"/>
  <c r="D50" i="6"/>
  <c r="E50" i="6"/>
  <c r="F50" i="6"/>
  <c r="B51" i="6"/>
  <c r="C51" i="6"/>
  <c r="D51" i="6"/>
  <c r="E51" i="6"/>
  <c r="F51" i="6"/>
  <c r="B52" i="6"/>
  <c r="C52" i="6"/>
  <c r="D52" i="6"/>
  <c r="E52" i="6"/>
  <c r="F52" i="6"/>
  <c r="B53" i="6"/>
  <c r="C53" i="6"/>
  <c r="D53" i="6"/>
  <c r="E53" i="6"/>
  <c r="F53" i="6"/>
  <c r="B54" i="6"/>
  <c r="C54" i="6"/>
  <c r="D54" i="6"/>
  <c r="E54" i="6"/>
  <c r="F54" i="6"/>
  <c r="B55" i="6"/>
  <c r="C55" i="6"/>
  <c r="D55" i="6"/>
  <c r="E55" i="6"/>
  <c r="F55" i="6"/>
  <c r="B56" i="6"/>
  <c r="C56" i="6"/>
  <c r="D56" i="6"/>
  <c r="E56" i="6"/>
  <c r="F56" i="6"/>
  <c r="B57" i="6"/>
  <c r="C57" i="6"/>
  <c r="D57" i="6"/>
  <c r="E57" i="6"/>
  <c r="F57" i="6"/>
  <c r="B58" i="6"/>
  <c r="C58" i="6"/>
  <c r="D58" i="6"/>
  <c r="E58" i="6"/>
  <c r="F58" i="6"/>
  <c r="B59" i="6"/>
  <c r="C59" i="6"/>
  <c r="D59" i="6"/>
  <c r="E59" i="6"/>
  <c r="F59" i="6"/>
  <c r="B60" i="6"/>
  <c r="C60" i="6"/>
  <c r="D60" i="6"/>
  <c r="E60" i="6"/>
  <c r="F60" i="6"/>
  <c r="B61" i="6"/>
  <c r="C61" i="6"/>
  <c r="D61" i="6"/>
  <c r="C34" i="6"/>
  <c r="D36" i="6"/>
  <c r="C37" i="6"/>
  <c r="F40" i="6"/>
  <c r="B42" i="6"/>
  <c r="B43" i="6"/>
  <c r="C45" i="6"/>
  <c r="B46" i="6"/>
  <c r="F46" i="6"/>
  <c r="C48" i="6"/>
  <c r="B64" i="6"/>
  <c r="D65" i="6"/>
  <c r="F66" i="6"/>
  <c r="D68" i="6"/>
  <c r="B69" i="6"/>
  <c r="E69" i="6"/>
  <c r="F70" i="6"/>
  <c r="B72" i="6"/>
  <c r="C78" i="6"/>
  <c r="B79" i="6"/>
  <c r="F80" i="6"/>
  <c r="E81" i="6"/>
  <c r="F82" i="6"/>
  <c r="F84" i="6"/>
  <c r="F85" i="6"/>
  <c r="E86" i="6"/>
  <c r="E98" i="6"/>
  <c r="F102" i="6"/>
  <c r="B115" i="6"/>
  <c r="E116" i="6"/>
  <c r="F119" i="6"/>
  <c r="F122" i="6"/>
  <c r="C32" i="6"/>
  <c r="C33" i="6"/>
  <c r="F36" i="6"/>
  <c r="F38" i="6"/>
  <c r="E39" i="6"/>
  <c r="B44" i="6"/>
  <c r="F44" i="6"/>
  <c r="F47" i="6"/>
  <c r="B63" i="6"/>
  <c r="E63" i="6"/>
  <c r="B65" i="6"/>
  <c r="E65" i="6"/>
  <c r="E66" i="6"/>
  <c r="E67" i="6"/>
  <c r="E70" i="6"/>
  <c r="C72" i="6"/>
  <c r="E75" i="6"/>
  <c r="E76" i="6"/>
  <c r="C80" i="6"/>
  <c r="B82" i="6"/>
  <c r="C83" i="6"/>
  <c r="B84" i="6"/>
  <c r="B87" i="6"/>
  <c r="D99" i="6"/>
  <c r="F100" i="6"/>
  <c r="E101" i="6"/>
  <c r="D102" i="6"/>
  <c r="E103" i="6"/>
  <c r="E104" i="6"/>
  <c r="D105" i="6"/>
  <c r="B106" i="6"/>
  <c r="E107" i="6"/>
  <c r="D108" i="6"/>
  <c r="B109" i="6"/>
  <c r="B110" i="6"/>
  <c r="C111" i="6"/>
  <c r="B112" i="6"/>
  <c r="F112" i="6"/>
  <c r="B114" i="6"/>
  <c r="E114" i="6"/>
  <c r="D115" i="6"/>
  <c r="D116" i="6"/>
  <c r="D117" i="6"/>
  <c r="F117" i="6"/>
  <c r="C118" i="6"/>
  <c r="F118" i="6"/>
  <c r="D119" i="6"/>
  <c r="B120" i="6"/>
  <c r="C120" i="6"/>
  <c r="E120" i="6"/>
  <c r="B121" i="6"/>
  <c r="C121" i="6"/>
  <c r="E121" i="6"/>
  <c r="E122" i="6"/>
  <c r="C31" i="6"/>
  <c r="D32" i="6"/>
  <c r="F109" i="6"/>
  <c r="D34" i="6"/>
  <c r="D35" i="6"/>
  <c r="E36" i="6"/>
  <c r="F37" i="6"/>
  <c r="D39" i="6"/>
  <c r="D41" i="6"/>
  <c r="C42" i="6"/>
  <c r="C43" i="6"/>
  <c r="C44" i="6"/>
  <c r="F45" i="6"/>
  <c r="E46" i="6"/>
  <c r="B62" i="6"/>
  <c r="D63" i="6"/>
  <c r="E64" i="6"/>
  <c r="F65" i="6"/>
  <c r="B68" i="6"/>
  <c r="C69" i="6"/>
  <c r="B70" i="6"/>
  <c r="E71" i="6"/>
  <c r="F72" i="6"/>
  <c r="F73" i="6"/>
  <c r="F74" i="6"/>
  <c r="B76" i="6"/>
  <c r="E77" i="6"/>
  <c r="E78" i="6"/>
  <c r="B80" i="6"/>
  <c r="C81" i="6"/>
  <c r="E82" i="6"/>
  <c r="E84" i="6"/>
  <c r="C85" i="6"/>
  <c r="B86" i="6"/>
  <c r="C100" i="6"/>
  <c r="F101" i="6"/>
  <c r="B103" i="6"/>
  <c r="E105" i="6"/>
  <c r="F106" i="6"/>
  <c r="B108" i="6"/>
  <c r="E43" i="6"/>
  <c r="E110" i="6"/>
  <c r="C112" i="6"/>
  <c r="E113" i="6"/>
  <c r="E115" i="6"/>
  <c r="B117" i="6"/>
  <c r="C119" i="6"/>
  <c r="C122" i="6"/>
  <c r="D31" i="6"/>
  <c r="F32" i="6"/>
  <c r="C36" i="6"/>
  <c r="B39" i="6"/>
  <c r="C40" i="6"/>
  <c r="D43" i="6"/>
  <c r="D46" i="6"/>
  <c r="B48" i="6"/>
  <c r="C62" i="6"/>
  <c r="F62" i="6"/>
  <c r="F63" i="6"/>
  <c r="C65" i="6"/>
  <c r="D66" i="6"/>
  <c r="D67" i="6"/>
  <c r="D69" i="6"/>
  <c r="B71" i="6"/>
  <c r="F76" i="6"/>
  <c r="E79" i="6"/>
  <c r="F81" i="6"/>
  <c r="D83" i="6"/>
  <c r="F86" i="6"/>
  <c r="D87" i="6"/>
  <c r="E99" i="6"/>
  <c r="B101" i="6"/>
  <c r="C102" i="6"/>
  <c r="D103" i="6"/>
  <c r="B104" i="6"/>
  <c r="C105" i="6"/>
  <c r="F105" i="6"/>
  <c r="E106" i="6"/>
  <c r="D107" i="6"/>
  <c r="D101" i="6"/>
  <c r="F103" i="6"/>
  <c r="B105" i="6"/>
  <c r="C107" i="6"/>
  <c r="F110" i="6"/>
  <c r="C108" i="6"/>
  <c r="D109" i="6"/>
  <c r="C110" i="6"/>
  <c r="B111" i="6"/>
  <c r="F111" i="6"/>
  <c r="B113" i="6"/>
  <c r="F113" i="6"/>
  <c r="F114" i="6"/>
  <c r="F115" i="6"/>
  <c r="F116" i="6"/>
  <c r="C117" i="6"/>
  <c r="E117" i="6"/>
  <c r="B118" i="6"/>
  <c r="D118" i="6"/>
  <c r="B119" i="6"/>
  <c r="E119" i="6"/>
  <c r="D120" i="6"/>
  <c r="F120" i="6"/>
  <c r="D121" i="6"/>
  <c r="D122" i="6"/>
  <c r="B31" i="6"/>
  <c r="F31" i="6"/>
  <c r="E32" i="6"/>
  <c r="D33" i="6"/>
  <c r="B34" i="6"/>
  <c r="B35" i="6"/>
  <c r="E35" i="6"/>
  <c r="D37" i="6"/>
  <c r="C38" i="6"/>
  <c r="E38" i="6"/>
  <c r="B40" i="6"/>
  <c r="E40" i="6"/>
  <c r="E41" i="6"/>
  <c r="E42" i="6"/>
  <c r="B45" i="6"/>
  <c r="D47" i="6"/>
  <c r="F61" i="6"/>
  <c r="D62" i="6"/>
  <c r="C64" i="6"/>
  <c r="F64" i="6"/>
  <c r="B66" i="6"/>
  <c r="B67" i="6"/>
  <c r="C68" i="6"/>
  <c r="F68" i="6"/>
  <c r="C70" i="6"/>
  <c r="D71" i="6"/>
  <c r="D72" i="6"/>
  <c r="C73" i="6"/>
  <c r="C74" i="6"/>
  <c r="D75" i="6"/>
  <c r="C76" i="6"/>
  <c r="B77" i="6"/>
  <c r="B78" i="6"/>
  <c r="F78" i="6"/>
  <c r="F79" i="6"/>
  <c r="E80" i="6"/>
  <c r="B81" i="6"/>
  <c r="C82" i="6"/>
  <c r="B83" i="6"/>
  <c r="C84" i="6"/>
  <c r="B85" i="6"/>
  <c r="D86" i="6"/>
  <c r="E87" i="6"/>
  <c r="B99" i="6"/>
  <c r="B100" i="6"/>
  <c r="E100" i="6"/>
  <c r="E102" i="6"/>
  <c r="D104" i="6"/>
  <c r="C106" i="6"/>
  <c r="E108" i="6"/>
  <c r="E111" i="6"/>
  <c r="E112" i="6"/>
  <c r="D113" i="6"/>
  <c r="D114" i="6"/>
  <c r="C115" i="6"/>
  <c r="B116" i="6"/>
  <c r="E118" i="6"/>
  <c r="F121" i="6"/>
  <c r="B32" i="6"/>
  <c r="B33" i="6"/>
  <c r="E33" i="6"/>
  <c r="E34" i="6"/>
  <c r="C35" i="6"/>
  <c r="F35" i="6"/>
  <c r="E37" i="6"/>
  <c r="D38" i="6"/>
  <c r="C39" i="6"/>
  <c r="F39" i="6"/>
  <c r="D40" i="6"/>
  <c r="C41" i="6"/>
  <c r="D42" i="6"/>
  <c r="F43" i="6"/>
  <c r="E44" i="6"/>
  <c r="D45" i="6"/>
  <c r="B47" i="6"/>
  <c r="E47" i="6"/>
  <c r="E61" i="6"/>
  <c r="E62" i="6"/>
  <c r="C63" i="6"/>
  <c r="D64" i="6"/>
  <c r="C66" i="6"/>
  <c r="C67" i="6"/>
  <c r="F67" i="6"/>
  <c r="E68" i="6"/>
  <c r="F69" i="6"/>
  <c r="D70" i="6"/>
  <c r="C71" i="6"/>
  <c r="F71" i="6"/>
  <c r="B73" i="6"/>
  <c r="B74" i="6"/>
  <c r="E74" i="6"/>
  <c r="C75" i="6"/>
  <c r="F75" i="6"/>
  <c r="D76" i="6"/>
  <c r="C77" i="6"/>
  <c r="F77" i="6"/>
  <c r="D78" i="6"/>
  <c r="C79" i="6"/>
  <c r="D80" i="6"/>
  <c r="F83" i="6"/>
  <c r="D84" i="6"/>
  <c r="E85" i="6"/>
  <c r="C86" i="6"/>
  <c r="C87" i="6"/>
  <c r="F98" i="6"/>
  <c r="C99" i="6"/>
  <c r="F99" i="6"/>
  <c r="D100" i="6"/>
  <c r="C101" i="6"/>
  <c r="B102" i="6"/>
  <c r="C103" i="6"/>
  <c r="C104" i="6"/>
  <c r="F104" i="6"/>
  <c r="D106" i="6"/>
  <c r="B107" i="6"/>
  <c r="F107" i="6"/>
  <c r="F108" i="6"/>
  <c r="E109" i="6"/>
  <c r="D110" i="6"/>
  <c r="D111" i="6"/>
  <c r="D112" i="6"/>
  <c r="C113" i="6"/>
  <c r="C114" i="6"/>
  <c r="C116" i="6"/>
  <c r="B122" i="6"/>
  <c r="D11" i="8"/>
  <c r="G11" i="8"/>
  <c r="G12" i="8"/>
  <c r="D12" i="8"/>
  <c r="G13" i="8"/>
  <c r="D13" i="8"/>
  <c r="G14" i="8"/>
  <c r="D14" i="8"/>
  <c r="C22" i="8"/>
</calcChain>
</file>

<file path=xl/sharedStrings.xml><?xml version="1.0" encoding="utf-8"?>
<sst xmlns="http://schemas.openxmlformats.org/spreadsheetml/2006/main" count="1072" uniqueCount="719">
  <si>
    <t>System-Check &amp; Software-Evaluation</t>
  </si>
  <si>
    <t>Für Gastronomie und Hotellerie: In drei Phasen von der Ist-Analyse zur fundierten Systemwahl.</t>
  </si>
  <si>
    <t>Zeitbedarf für Phase 1 und 2: rund 45 Minuten. Phase 3 läuft parallel zu den Gesprächen mit Anbietern.</t>
  </si>
  <si>
    <t>So gehst du vor</t>
  </si>
  <si>
    <t>Phase</t>
  </si>
  <si>
    <t>Blätter</t>
  </si>
  <si>
    <t>Was du tust</t>
  </si>
  <si>
    <t>Was du bekommst</t>
  </si>
  <si>
    <t>1 · Verstehen</t>
  </si>
  <si>
    <t>1 Bedarfscheck
2 Systemlandschaft
3 Datenflüsse</t>
  </si>
  <si>
    <t>Fragen zu Betrieb und Angebot beantworten. Heutige Systeme, Kosten, Fristen und manuelle Übertragungen erfassen.</t>
  </si>
  <si>
    <t>Eine CHF-Zahl: Was Systeme und Doppelerfassung heute pro Jahr kosten. Dazu deine nächsten Kündigungstermine.</t>
  </si>
  <si>
    <t>2 · Festlegen</t>
  </si>
  <si>
    <t>4 Kriterien</t>
  </si>
  <si>
    <t>Vorausgefüllte Richtwerte prüfen, Gewichtung anpassen, Muss-Kriterien (KO) setzen. Die Antworten aus Phase 1 blenden Unpassendes aus.</t>
  </si>
  <si>
    <t>Dein Anforderungsprofil, bevor die erste Demo dich beeinflusst.</t>
  </si>
  <si>
    <t>3 · Vergleichen</t>
  </si>
  <si>
    <t>5 Fragebogen
6 Anbietervergleich
7 Auswertung</t>
  </si>
  <si>
    <t>Fragebogen an 3 bis 4 Anbieter senden. Antworten, Offerten und Demos bewerten.</t>
  </si>
  <si>
    <t>Rangliste mit KO-Check, Budget-Check und Gesamtkosten über 3 Jahre.</t>
  </si>
  <si>
    <t>Legende</t>
  </si>
  <si>
    <t>Eingabe</t>
  </si>
  <si>
    <t>Gelbe Felder füllst du aus. Viele haben eine Auswahlliste.</t>
  </si>
  <si>
    <t>Berechnet</t>
  </si>
  <si>
    <t>Graue Felder rechnen automatisch. Bitte nicht überschreiben.</t>
  </si>
  <si>
    <t>Beispiel</t>
  </si>
  <si>
    <t>Kursive Beispielzeilen zeigen das Format. Sie zählen nicht mit.</t>
  </si>
  <si>
    <t>Bewertungslogik</t>
  </si>
  <si>
    <t>Gewichtung</t>
  </si>
  <si>
    <t>1 = wenig wichtig · 3 = wichtig · 5 = sehr wichtig. Ohne eigene Angabe gilt der Richtwert.</t>
  </si>
  <si>
    <t>KO-Kriterium</t>
  </si>
  <si>
    <t>Muss-Kriterium. Zählt mit Gewicht 5. Erfüllt ein Anbieter es nicht (0), scheidet er aus.</t>
  </si>
  <si>
    <t>Erfüllung</t>
  </si>
  <si>
    <t>3 = im Standard voll erfüllt · 2 = teilweise · 1 = nur mit Anpassung oder Mehrkosten · 0 = nicht erfüllt.</t>
  </si>
  <si>
    <t>Erfüllungsgrad</t>
  </si>
  <si>
    <t>Summe aus Gewicht × Erfüllung, geteilt durch das Maximum (Gewicht × 3). Ergibt 0 bis 100 %.</t>
  </si>
  <si>
    <t>Drei Tipps aus der Praxis</t>
  </si>
  <si>
    <t>Erst gewichten, dann Demos</t>
  </si>
  <si>
    <t>Lege die Kriterien fest, bevor du mit Anbietern sprichst. Sonst bestimmt die schönste Demo, was dir wichtig ist.</t>
  </si>
  <si>
    <t>Zwei Runden</t>
  </si>
  <si>
    <t>Lass Küche, Service und Administration zuerst allein gewichten. Einigt euch danach gemeinsam auf eine Gewichtung.</t>
  </si>
  <si>
    <t>Echter Test</t>
  </si>
  <si>
    <t>Teste die zwei bestplatzierten Systeme im eigenen Betrieb, am besten zu einer Stosszeit. Ruf pro Anbieter mindestens eine Referenz an.</t>
  </si>
  <si>
    <t>Die Vorlage ist eine Entscheidungshilfe. Sie ersetzt weder die Prüfung des Vertrags noch einen Test im eigenen Betrieb. Alle Angaben bleiben in deiner Datei.</t>
  </si>
  <si>
    <t>Dr. Koch Consultancy GmbH · dr-koch.ch · Version 1.0, Oktober 2026</t>
  </si>
  <si>
    <t>Kassen- und Reservationssysteme vergleichen: souschef.ch</t>
  </si>
  <si>
    <t>Bedarfscheck: Was braucht dein Betrieb?</t>
  </si>
  <si>
    <t>Beantworte die Fragen in den gelben Feldern. Die Antworten steuern, welche Kriterien in Blatt 4 zählen. Offene Ja/Nein-Fragen zählen als Ja, damit kein Kriterium verloren geht.</t>
  </si>
  <si>
    <t>A · Dein Betrieb</t>
  </si>
  <si>
    <t>Nr</t>
  </si>
  <si>
    <t>Frage</t>
  </si>
  <si>
    <t>Deine Antwort</t>
  </si>
  <si>
    <t>Hinweis</t>
  </si>
  <si>
    <t>A1</t>
  </si>
  <si>
    <t>Name des Betriebs</t>
  </si>
  <si>
    <t>Erscheint auf dem Fragebogen für Anbieter.</t>
  </si>
  <si>
    <t>A2</t>
  </si>
  <si>
    <t>Betriebstyp</t>
  </si>
  <si>
    <t>Auswahlliste</t>
  </si>
  <si>
    <t>A3</t>
  </si>
  <si>
    <t>Sitzplätze (innen und Terrasse)</t>
  </si>
  <si>
    <t>A4</t>
  </si>
  <si>
    <t>Anzahl Standorte</t>
  </si>
  <si>
    <t>Ab 2 Standorten zählen die Kriterien für Mehrfilialbetriebe.</t>
  </si>
  <si>
    <t>A5</t>
  </si>
  <si>
    <t>Mitarbeitende (Köpfe inkl. Aushilfen und Lernende)</t>
  </si>
  <si>
    <t>A6</t>
  </si>
  <si>
    <t>Öffnungstage pro Woche</t>
  </si>
  <si>
    <t>A7</t>
  </si>
  <si>
    <t>Betriebswochen pro Jahr</t>
  </si>
  <si>
    <t>Richtwert 48, also 4 Wochen Betriebsferien. Grundlage für die Hochrechnung in Blatt 3.</t>
  </si>
  <si>
    <t>A8</t>
  </si>
  <si>
    <t>Jahresumsatz in CHF (optional)</t>
  </si>
  <si>
    <t>Optional. Daraus entsteht die IT-Kostenquote in Blatt 7. Die Zahl bleibt in deiner Datei.</t>
  </si>
  <si>
    <t>B · Dein Angebot</t>
  </si>
  <si>
    <t>B1</t>
  </si>
  <si>
    <t>Nimmst du Tischreservationen entgegen?</t>
  </si>
  <si>
    <t>Ja: Kriterien zur Tischreservation bzw. zur Anbindung zählen mit.</t>
  </si>
  <si>
    <t>B2</t>
  </si>
  <si>
    <t>Vermietest du Hotelzimmer oder Ferienwohnungen?</t>
  </si>
  <si>
    <t>Ja: Kriterien zur Hotelsoftware (PMS) zählen mit.</t>
  </si>
  <si>
    <t>B3</t>
  </si>
  <si>
    <t>Bietest du Events, Bankette oder Seminare an?</t>
  </si>
  <si>
    <t>Ja: Kriterien zu Events und Banketten zählen mit.</t>
  </si>
  <si>
    <t>B4</t>
  </si>
  <si>
    <t>Verkaufst du Take-away oder lieferst du aus?</t>
  </si>
  <si>
    <t>Ja: Kriterien zu Online-Bestellung und Lieferplattformen zählen mit.</t>
  </si>
  <si>
    <t>B5</t>
  </si>
  <si>
    <t>Planst du Dienste für Mitarbeitende (Dienstplan)?</t>
  </si>
  <si>
    <t>Ja: Kriterien zu Personalplanung und Lohn zählen mit.</t>
  </si>
  <si>
    <t>B6</t>
  </si>
  <si>
    <t>Kalkulierst du Rezepturen oder führst du ein Lager?</t>
  </si>
  <si>
    <t>Ja: Kriterien zur Warenwirtschaft zählen mit.</t>
  </si>
  <si>
    <t>B7</t>
  </si>
  <si>
    <t>Willst du Stammgäste gezielt ansprechen (Newsletter, Gutscheine, Kundenkarte)?</t>
  </si>
  <si>
    <t>Ja: Kriterien zu Gästebindung und Marketing zählen mit.</t>
  </si>
  <si>
    <t>C · Dein Projekt</t>
  </si>
  <si>
    <t>C1</t>
  </si>
  <si>
    <t>Welchen Bereich willst du evaluieren?</t>
  </si>
  <si>
    <t>Die wichtigste Frage: Sie steuert, welche Funktionsblöcke in Blatt 4 zählen. Leer = Gesamtlösung.</t>
  </si>
  <si>
    <t>C2</t>
  </si>
  <si>
    <t>Warum suchst du jetzt eine neue Lösung?</t>
  </si>
  <si>
    <t>C3</t>
  </si>
  <si>
    <t>Budget einmalig in CHF (Einrichtung, Hardware, Schulung)</t>
  </si>
  <si>
    <t>Für den Budget-Check in Blatt 7.</t>
  </si>
  <si>
    <t>C4</t>
  </si>
  <si>
    <t>Budget laufend pro Monat in CHF (inkl. Gebühren)</t>
  </si>
  <si>
    <t>C5</t>
  </si>
  <si>
    <t>Entscheid bis (Datum)</t>
  </si>
  <si>
    <t>Rückwärts planen: Fragebogen, Demos, Referenzanruf, Test im Betrieb.</t>
  </si>
  <si>
    <t>C6</t>
  </si>
  <si>
    <t>Wer entscheidet mit?</t>
  </si>
  <si>
    <t>z. B. Küchenchef:in, Service-Leitung, Treuhand</t>
  </si>
  <si>
    <t>C7</t>
  </si>
  <si>
    <t>Interner Stundenansatz in CHF (Lohn inkl. Sozialleistungen)</t>
  </si>
  <si>
    <t>Richtwert 40, bitte an deinen Betrieb anpassen. Grundlage für die Kosten der Doppelerfassung in Blatt 3.</t>
  </si>
  <si>
    <t>D · Daraus folgt: Diese Bereiche zählen in der Bewertung (automatisch)</t>
  </si>
  <si>
    <t>Evaluationsfokus (verwendet)</t>
  </si>
  <si>
    <t>Ohne Antwort auf C1 wird mit «Gesamtlösung» gerechnet.</t>
  </si>
  <si>
    <t>Code</t>
  </si>
  <si>
    <t>Bereich</t>
  </si>
  <si>
    <t>Zählt?</t>
  </si>
  <si>
    <t>Regel</t>
  </si>
  <si>
    <t>ALLG</t>
  </si>
  <si>
    <t>Allgemeine Kriterien (Bedienung, Kosten, Support …)</t>
  </si>
  <si>
    <t>Gilt immer</t>
  </si>
  <si>
    <t>MULTI</t>
  </si>
  <si>
    <t>Mehrere Standorte</t>
  </si>
  <si>
    <t>Mehr als 1 Standort (Frage A4)</t>
  </si>
  <si>
    <t>KASSE</t>
  </si>
  <si>
    <t>Kasse &amp; Service</t>
  </si>
  <si>
    <t>Fokus Kassensystem oder Gesamtlösung</t>
  </si>
  <si>
    <t>RES</t>
  </si>
  <si>
    <t>Tischreservation</t>
  </si>
  <si>
    <t>Fokus Tischreservation, oder Gesamtlösung und Frage B1 nicht Nein</t>
  </si>
  <si>
    <t>PERS</t>
  </si>
  <si>
    <t>Personalplanung &amp; Zeiterfassung</t>
  </si>
  <si>
    <t>Fokus Personalplanung, oder Gesamtlösung und Frage B5 nicht Nein</t>
  </si>
  <si>
    <t>WAWI</t>
  </si>
  <si>
    <t>Warenwirtschaft &amp; Kalkulation</t>
  </si>
  <si>
    <t>Fokus Warenwirtschaft, oder Gesamtlösung und Frage B6 nicht Nein</t>
  </si>
  <si>
    <t>PMS</t>
  </si>
  <si>
    <t>Hotel (PMS)</t>
  </si>
  <si>
    <t>Fokus Hotelsoftware, oder Gesamtlösung und Frage B2 nicht Nein</t>
  </si>
  <si>
    <t>EVENT</t>
  </si>
  <si>
    <t>Events &amp; Bankette</t>
  </si>
  <si>
    <t>Fokus Eventsoftware, oder Gesamtlösung und Frage B3 nicht Nein</t>
  </si>
  <si>
    <t>ONLINE</t>
  </si>
  <si>
    <t>Online-Bestellung &amp; Lieferung</t>
  </si>
  <si>
    <t>Frage B4 nicht Nein und Fokus Kasse oder Gesamtlösung</t>
  </si>
  <si>
    <t>MKT</t>
  </si>
  <si>
    <t>Gästebindung &amp; Marketing</t>
  </si>
  <si>
    <t>Frage B7 nicht Nein und Fokus Kasse, Reservation oder Gesamtlösung</t>
  </si>
  <si>
    <t>IF_BUCH</t>
  </si>
  <si>
    <t>Schnittstelle Buchhaltung</t>
  </si>
  <si>
    <t>Ausser bei Fokus Tischreservation oder Personalplanung</t>
  </si>
  <si>
    <t>IF_ZAHL</t>
  </si>
  <si>
    <t>Schnittstelle Zahlungsterminal</t>
  </si>
  <si>
    <t>Ausser bei Fokus Personalplanung oder Warenwirtschaft</t>
  </si>
  <si>
    <t>IF_KASSE</t>
  </si>
  <si>
    <t>Schnittstelle Kasse</t>
  </si>
  <si>
    <t>Wenn ein anderes System als die Kasse evaluiert wird</t>
  </si>
  <si>
    <t>IF_RES</t>
  </si>
  <si>
    <t>Schnittstelle Tischreservation</t>
  </si>
  <si>
    <t>Frage B1 nicht Nein, Fokus weder Reservation noch Gesamtlösung</t>
  </si>
  <si>
    <t>IF_PERS</t>
  </si>
  <si>
    <t>Schnittstelle Personalplanung &amp; Lohn</t>
  </si>
  <si>
    <t>Frage B5 nicht Nein, Fokus weder Personalplanung noch Gesamtlösung</t>
  </si>
  <si>
    <t>IF_WAWI</t>
  </si>
  <si>
    <t>Schnittstelle Warenwirtschaft</t>
  </si>
  <si>
    <t>Frage B6 nicht Nein, Fokus weder Warenwirtschaft noch Gesamtlösung</t>
  </si>
  <si>
    <t>IF_PMS</t>
  </si>
  <si>
    <t>Schnittstelle Hotelsoftware</t>
  </si>
  <si>
    <t>Frage B2 nicht Nein, Fokus weder Hotelsoftware noch Gesamtlösung</t>
  </si>
  <si>
    <t>IF_EVENT</t>
  </si>
  <si>
    <t>Schnittstelle Eventsoftware</t>
  </si>
  <si>
    <t>Frage B3 nicht Nein, Fokus weder Eventsoftware noch Gesamtlösung</t>
  </si>
  <si>
    <t>Systemlandschaft: Was ist heute im Einsatz?</t>
  </si>
  <si>
    <t>Erfasse pro Bereich, womit du heute arbeitest. Kosten, Fristen und Zufriedenheit zeigen, wo der Handlungsbedarf liegt.</t>
  </si>
  <si>
    <t>Kennzahlen</t>
  </si>
  <si>
    <t>So entsteht der Handlungsbedarf (Spalte L)</t>
  </si>
  <si>
    <t>Bereiche mit Software</t>
  </si>
  <si>
    <t>Hoch</t>
  </si>
  <si>
    <t>Zufriedenheit 1 oder 2, oder Kündigungstermin in den nächsten 180 Tagen</t>
  </si>
  <si>
    <t>Bereiche auf Papier oder Excel</t>
  </si>
  <si>
    <t>Mittel</t>
  </si>
  <si>
    <t>Lösung auf Papier oder Excel, oder Zufriedenheit 3</t>
  </si>
  <si>
    <t>Lücken (gebraucht, aber nicht gelöst)</t>
  </si>
  <si>
    <t>Tief</t>
  </si>
  <si>
    <t>Software mit Zufriedenheit 4 oder 5</t>
  </si>
  <si>
    <t>Laufende Kosten pro Monat (CHF)</t>
  </si>
  <si>
    <t>Lücke</t>
  </si>
  <si>
    <t>Bereich wird gebraucht, ist aber heute nicht gelöst</t>
  </si>
  <si>
    <t>Laufende Kosten pro Jahr (CHF)</t>
  </si>
  <si>
    <t>Bereiche mit hohem Handlungsbedarf</t>
  </si>
  <si>
    <t>Zufriedenheit: 1 = sehr unzufrieden · 5 = sehr zufrieden</t>
  </si>
  <si>
    <t>Nächster Kündigungstermin</t>
  </si>
  <si>
    <t>Ein Bereich, den du nicht brauchst, bekommt «Nicht nötig».</t>
  </si>
  <si>
    <t>Heute gelöst mit</t>
  </si>
  <si>
    <t>Anbieter / Produkt</t>
  </si>
  <si>
    <t>Kosten pro Monat (CHF)</t>
  </si>
  <si>
    <t>Vertragsende</t>
  </si>
  <si>
    <t>Kündigungsfrist (Monate)</t>
  </si>
  <si>
    <t>Kündigen spätestens am</t>
  </si>
  <si>
    <t>Zufriedenheit (1–5)</t>
  </si>
  <si>
    <t>Grösstes Problem</t>
  </si>
  <si>
    <t>Handlungsbedarf</t>
  </si>
  <si>
    <t>Kassensystem (POS)</t>
  </si>
  <si>
    <t>Software</t>
  </si>
  <si>
    <t>Kasse XY, Abo</t>
  </si>
  <si>
    <t>Kein Offline-Modus, Abschluss dauert 20 Minuten</t>
  </si>
  <si>
    <t>Zahlungsterminal (Karten, TWINT)</t>
  </si>
  <si>
    <t>Online-Bestellung, Take-away, Lieferplattformen</t>
  </si>
  <si>
    <t>Website &amp; Online-Speisekarte</t>
  </si>
  <si>
    <t>Warenwirtschaft &amp; Einkauf</t>
  </si>
  <si>
    <t>Rezepturen &amp; Kalkulation</t>
  </si>
  <si>
    <t>Personalplanung (Dienstplan)</t>
  </si>
  <si>
    <t>Zeiterfassung</t>
  </si>
  <si>
    <t>Lohnbuchhaltung</t>
  </si>
  <si>
    <t>Finanzbuchhaltung</t>
  </si>
  <si>
    <t>Hotelsoftware (PMS)</t>
  </si>
  <si>
    <t>Channel Manager &amp; Buchungsplattformen</t>
  </si>
  <si>
    <t>Event- &amp; Bankettverwaltung</t>
  </si>
  <si>
    <t>Gästedatenbank &amp; Newsletter</t>
  </si>
  <si>
    <t>Gutscheine &amp; Kundenkarte</t>
  </si>
  <si>
    <t>Bewertungsmanagement</t>
  </si>
  <si>
    <t>HACCP &amp; Hygienedokumentation</t>
  </si>
  <si>
    <t>Team-Kommunikation</t>
  </si>
  <si>
    <t>Kennzahlen &amp; Reporting</t>
  </si>
  <si>
    <t>Datenflüsse: Wo tippst du Daten doppelt ab?</t>
  </si>
  <si>
    <t>Jede manuelle Übertragung kostet Zeit und erzeugt Fehler. Dieses Blatt rechnet aus, wie viel.</t>
  </si>
  <si>
    <t>So wird gerechnet</t>
  </si>
  <si>
    <t>Manuelle Datenflüsse</t>
  </si>
  <si>
    <t>Minuten pro Woche × Betriebswochen ÷ 60 = Stunden pro Jahr.
Stunden pro Jahr × Stundenansatz = Kosten pro Jahr.
Stundenansatz und Betriebswochen kommen aus dem Bedarfscheck (Fragen A7 und C7).</t>
  </si>
  <si>
    <t>Fehlende Verbindungen</t>
  </si>
  <si>
    <t>Manueller Aufwand pro Jahr (Std.)</t>
  </si>
  <si>
    <t>Kosten pro Jahr (CHF)</t>
  </si>
  <si>
    <t>Tipp: Schätze grosszügig. Zähle auch Kontrollen, Korrekturen und Rückfragen mit, die durch die Doppelerfassung entstehen.</t>
  </si>
  <si>
    <t>Stundenansatz (CHF) · Betriebswochen</t>
  </si>
  <si>
    <t>Datenfluss</t>
  </si>
  <si>
    <t>Von</t>
  </si>
  <si>
    <t>Nach</t>
  </si>
  <si>
    <t>Was wird übertragen?</t>
  </si>
  <si>
    <t>Heute</t>
  </si>
  <si>
    <t>Minuten pro Woche</t>
  </si>
  <si>
    <t>Stunden pro Jahr</t>
  </si>
  <si>
    <t>Fehlerrisiko</t>
  </si>
  <si>
    <t>Bemerkung</t>
  </si>
  <si>
    <t>Tagesumsätze an Buchhaltung</t>
  </si>
  <si>
    <t>Kasse</t>
  </si>
  <si>
    <t>Treuhand</t>
  </si>
  <si>
    <t>Umsätze, MWST</t>
  </si>
  <si>
    <t>Manuell</t>
  </si>
  <si>
    <t>Z-Bon wird abgetippt</t>
  </si>
  <si>
    <t>Buchhaltung / Treuhand</t>
  </si>
  <si>
    <t>Umsätze, MWST, Zahlungsarten</t>
  </si>
  <si>
    <t>Betrag ans Kartenterminal</t>
  </si>
  <si>
    <t>Zahlungsterminal</t>
  </si>
  <si>
    <t>Rechnungsbetrag, Trinkgeld</t>
  </si>
  <si>
    <t>Reservationen in den Tischplan</t>
  </si>
  <si>
    <t>Tisch, Personenzahl, Gästeinfos</t>
  </si>
  <si>
    <t>Online-Bestellungen in die Kasse</t>
  </si>
  <si>
    <t>Lieferplattform / Webshop</t>
  </si>
  <si>
    <t>Kasse &amp; Küche</t>
  </si>
  <si>
    <t>Bestellungen, Zahlungen</t>
  </si>
  <si>
    <t>Verkäufe ans Lager</t>
  </si>
  <si>
    <t>Warenwirtschaft</t>
  </si>
  <si>
    <t>Verkaufte Artikel, Lagerabbau</t>
  </si>
  <si>
    <t>Lieferantenrechnungen</t>
  </si>
  <si>
    <t>Einkauf / Warenwirtschaft</t>
  </si>
  <si>
    <t>Buchhaltung</t>
  </si>
  <si>
    <t>Rechnungen, Warenaufwand</t>
  </si>
  <si>
    <t>Stempelzeiten in den Dienstplan</t>
  </si>
  <si>
    <t>Personalplanung</t>
  </si>
  <si>
    <t>Ist-Stunden, Pausen</t>
  </si>
  <si>
    <t>Stunden an den Lohn</t>
  </si>
  <si>
    <t>Stunden, Zuschläge, Absenzen</t>
  </si>
  <si>
    <t>Umsatz für die Personalplanung</t>
  </si>
  <si>
    <t>Umsatz pro Stunde und Tag</t>
  </si>
  <si>
    <t>Konsumationen aufs Zimmer</t>
  </si>
  <si>
    <t>Zimmerbelastungen</t>
  </si>
  <si>
    <t>Verfügbarkeiten an Buchungsplattformen</t>
  </si>
  <si>
    <t>Channel Manager</t>
  </si>
  <si>
    <t>Zimmer, Preise, Buchungen</t>
  </si>
  <si>
    <t>Bankette abrechnen</t>
  </si>
  <si>
    <t>Eventverwaltung</t>
  </si>
  <si>
    <t>Kasse / Buchhaltung</t>
  </si>
  <si>
    <t>Offerte, Rechnung, Anzahlung</t>
  </si>
  <si>
    <t>Gästedaten für Newsletter</t>
  </si>
  <si>
    <t>Reservation / Kasse</t>
  </si>
  <si>
    <t>Gästedatenbank / Newsletter</t>
  </si>
  <si>
    <t>Kontaktdaten mit Einwilligung</t>
  </si>
  <si>
    <t>Gutscheine einlösen</t>
  </si>
  <si>
    <t>Gutscheinsystem</t>
  </si>
  <si>
    <t>Gutscheincode, Restwert</t>
  </si>
  <si>
    <t>Kriterien: Was muss das neue System können?</t>
  </si>
  <si>
    <t>Richtwerte sind vorausgefüllt. Passe die Gewichtung an und setze KO-Kriterien, bevor du mit Anbietern sprichst. Graue Zeilen zählen für deinen Fokus nicht. Über «Relevant (manuell)» holst du sie zurück.</t>
  </si>
  <si>
    <t>Gewichtung: 1 = wenig wichtig · 3 = wichtig · 5 = sehr wichtig · leer = Richtwert gilt.   KO = Muss-Kriterium: zählt mit 5, wird es nicht erfüllt, scheidet der Anbieter aus.</t>
  </si>
  <si>
    <t>Kategorie</t>
  </si>
  <si>
    <t>Kriterium</t>
  </si>
  <si>
    <t>Prüffrage an den Anbieter</t>
  </si>
  <si>
    <t>Relevant (auto)</t>
  </si>
  <si>
    <t>Relevant (manuell)</t>
  </si>
  <si>
    <t>Richtwert</t>
  </si>
  <si>
    <t>Deine Gewichtung</t>
  </si>
  <si>
    <t>KO</t>
  </si>
  <si>
    <t>Gewicht (zählt)</t>
  </si>
  <si>
    <t>Notiz</t>
  </si>
  <si>
    <t>#</t>
  </si>
  <si>
    <t>Allgemein &amp; Bedienung</t>
  </si>
  <si>
    <t>A01</t>
  </si>
  <si>
    <t>Einfache Bedienung</t>
  </si>
  <si>
    <t>Kann eine neue Aushilfe die Grundfunktionen nach 15 Minuten Einführung bedienen? Demo mit einem typischen Ablauf aus dem Betrieb zeigen lassen.</t>
  </si>
  <si>
    <t>A02</t>
  </si>
  <si>
    <t>Tempo im Stossbetrieb</t>
  </si>
  <si>
    <t>Wie viele Klicks braucht ein Standardvorgang? Bleibt das System schnell, wenn viele Geräte gleichzeitig arbeiten?</t>
  </si>
  <si>
    <t>A03</t>
  </si>
  <si>
    <t>Geräte &amp; Betriebssysteme</t>
  </si>
  <si>
    <t>Läuft die Lösung auf den vorhandenen Geräten (Windows, macOS, iOS, Android)? Welche Hardware muss neu gekauft werden?</t>
  </si>
  <si>
    <t>A04</t>
  </si>
  <si>
    <t>Mobile Nutzung</t>
  </si>
  <si>
    <t>Gibt es eine App oder mobile Ansicht für unterwegs, z. B. für Umsatz, Dienstplan oder Reservationen?</t>
  </si>
  <si>
    <t>A05</t>
  </si>
  <si>
    <t>Cloud oder lokale Installation</t>
  </si>
  <si>
    <t>Läuft die Lösung in der Cloud (SaaS), lokal oder hybrid? Was muss vor Ort installiert und gewartet werden?</t>
  </si>
  <si>
    <t>A06</t>
  </si>
  <si>
    <t>Ausfallsicherheit &amp; Offline-Modus</t>
  </si>
  <si>
    <t>Was passiert bei Internet- oder Stromausfall? Wie lange läuft der Betrieb offline weiter und wie werden die Daten danach nachgeführt?</t>
  </si>
  <si>
    <t>A07</t>
  </si>
  <si>
    <t>Sprachen</t>
  </si>
  <si>
    <t>Sind Oberfläche und Belege in den benötigten Sprachen verfügbar (DE, FR, IT, EN)? Ist die Sprache pro Person einstellbar?</t>
  </si>
  <si>
    <t>A08</t>
  </si>
  <si>
    <t>Anpassbarkeit</t>
  </si>
  <si>
    <t>Lassen sich Masken, Abläufe und Bezeichnungen ohne Programmierung an den Betrieb anpassen?</t>
  </si>
  <si>
    <t>A09</t>
  </si>
  <si>
    <t>Skalierbarkeit</t>
  </si>
  <si>
    <t>Wächst die Lösung mit (mehr Plätze, Geräte, Mitarbeitende, Standorte), ohne Systemwechsel?</t>
  </si>
  <si>
    <t>A10</t>
  </si>
  <si>
    <t>Können mehrere Standorte zentral verwaltet werden (gemeinsame Artikel und Preise, getrennte Auswertungen)?</t>
  </si>
  <si>
    <t>Kosten &amp; Vertrag</t>
  </si>
  <si>
    <t>B01</t>
  </si>
  <si>
    <t>Einmalige Kosten transparent</t>
  </si>
  <si>
    <t>Wie hoch sind Einrichtung, Hardware, Datenübernahme und Schulung? Liegt eine schriftliche Offerte mit allen Positionen vor?</t>
  </si>
  <si>
    <t>B02</t>
  </si>
  <si>
    <t>Laufende Kosten transparent</t>
  </si>
  <si>
    <t>Was kostet die Lösung pro Monat inklusive aller benötigten Module, Geräte und Benutzer:innen?</t>
  </si>
  <si>
    <t>B03</t>
  </si>
  <si>
    <t>Passendes Lizenzmodell</t>
  </si>
  <si>
    <t>Wird pro Gerät, Person, Standort oder Umsatz abgerechnet? Was kostet ein zusätzliches Gerät oder eine Saisonkraft?</t>
  </si>
  <si>
    <t>B04</t>
  </si>
  <si>
    <t>Transaktions- und Zusatzgebühren</t>
  </si>
  <si>
    <t>Fallen Gebühren pro Transaktion, Reservation, SMS oder Bestellung an? Wie hoch in CHF oder Prozent?</t>
  </si>
  <si>
    <t>B05</t>
  </si>
  <si>
    <t>Laufzeit &amp; Kündigungsfrist</t>
  </si>
  <si>
    <t>Wie lange sind Mindestlaufzeit und Kündigungsfrist? Gibt es eine kostenlose Testphase?</t>
  </si>
  <si>
    <t>B06</t>
  </si>
  <si>
    <t>Preisanpassungen begrenzt</t>
  </si>
  <si>
    <t>Wie oft und um wie viel darf der Preis während der Laufzeit steigen? Ist das vertraglich begrenzt?</t>
  </si>
  <si>
    <t>B07</t>
  </si>
  <si>
    <t>Datenherausgabe bei Vertragsende</t>
  </si>
  <si>
    <t>Werden alle Daten (Artikel, Gäste, Umsätze) bei Vertragsende kostenlos und in einem offenen Format (CSV, Excel) herausgegeben?</t>
  </si>
  <si>
    <t>B08</t>
  </si>
  <si>
    <t>Hardware: Kauf, Miete, Garantie</t>
  </si>
  <si>
    <t>Kann vorhandene Hardware weiterverwendet werden? Kauf oder Miete? Wie lange gilt die Garantie und wie schnell kommt Ersatz?</t>
  </si>
  <si>
    <t>B09</t>
  </si>
  <si>
    <t>Updates inklusive</t>
  </si>
  <si>
    <t>Sind Updates und neue Funktionen im Preis enthalten oder kostenpflichtig?</t>
  </si>
  <si>
    <t>Schnittstellen &amp; Daten</t>
  </si>
  <si>
    <t>C01</t>
  </si>
  <si>
    <t>Finanzbuchhaltung &amp; Treuhand</t>
  </si>
  <si>
    <t>Gibt es eine geprüfte Schnittstelle zur Buchhaltung bzw. zum Treuhand (z. B. Bexio, Abacus, Banana)? Was wird übertragen (Umsätze, MWST, Zahlungsarten)?</t>
  </si>
  <si>
    <t>C02</t>
  </si>
  <si>
    <t>Wird der Betrag automatisch ans Kartenterminal übertragen? Welche Terminals und Zahlungsmittel (Karten, TWINT) sind angebunden? Wie hoch sind die Gebühren?</t>
  </si>
  <si>
    <t>C03</t>
  </si>
  <si>
    <t>Anbindung ans Kassensystem</t>
  </si>
  <si>
    <t>Gibt es eine Schnittstelle zum bestehenden Kassensystem? Welche Daten fliessen in welche Richtung?</t>
  </si>
  <si>
    <t>C04</t>
  </si>
  <si>
    <t>Anbindung an Tischreservation</t>
  </si>
  <si>
    <t>Werden Reservationen automatisch an Kasse und Tischplan übertragen?</t>
  </si>
  <si>
    <t>C05</t>
  </si>
  <si>
    <t>Anbindung an Personalplanung &amp; Lohn</t>
  </si>
  <si>
    <t>Werden Umsätze an die Personalplanung bzw. Stunden an die Lohnbuchhaltung übertragen?</t>
  </si>
  <si>
    <t>C06</t>
  </si>
  <si>
    <t>Anbindung an Warenwirtschaft</t>
  </si>
  <si>
    <t>Werden verkaufte Artikel automatisch vom Lagerbestand abgebucht?</t>
  </si>
  <si>
    <t>C07</t>
  </si>
  <si>
    <t>Anbindung an Hotelsoftware (PMS)</t>
  </si>
  <si>
    <t>Können Konsumationen direkt aufs Zimmer gebucht werden? Mit welchen PMS besteht eine Schnittstelle?</t>
  </si>
  <si>
    <t>C08</t>
  </si>
  <si>
    <t>Anbindung an Lieferplattformen</t>
  </si>
  <si>
    <t>Laufen Bestellungen von Lieferplattformen direkt in Kasse und Küche, ohne zusätzliches Tablet?</t>
  </si>
  <si>
    <t>C09</t>
  </si>
  <si>
    <t>Anbindung an Eventsoftware</t>
  </si>
  <si>
    <t>Können Bankett- und Eventabrechnungen in Kasse bzw. Buchhaltung übernommen werden?</t>
  </si>
  <si>
    <t>C10</t>
  </si>
  <si>
    <t>Offene Schnittstelle (API)</t>
  </si>
  <si>
    <t>Gibt es eine dokumentierte API für weitere Anbindungen? Kostet die Nutzung extra?</t>
  </si>
  <si>
    <t>C11</t>
  </si>
  <si>
    <t>Datenexport jederzeit</t>
  </si>
  <si>
    <t>Lassen sich alle Daten jederzeit selbst exportieren (CSV, Excel)?</t>
  </si>
  <si>
    <t>C12</t>
  </si>
  <si>
    <t>Datenübernahme aus dem bisherigen System</t>
  </si>
  <si>
    <t>Übernimmt der Anbieter Artikel, Gästedaten und Historie aus dem bisherigen System? Zu welchen Kosten?</t>
  </si>
  <si>
    <t>K01</t>
  </si>
  <si>
    <t>Tischplan &amp; Tischverwaltung</t>
  </si>
  <si>
    <t>Lässt sich der Tischplan des Betriebs abbilden (Räume, Terrasse)? Sind Tische umbuchbar und zusammenlegbar?</t>
  </si>
  <si>
    <t>K02</t>
  </si>
  <si>
    <t>Mobile Bestellaufnahme</t>
  </si>
  <si>
    <t>Können Bestellungen am Tisch per Handgerät aufgenommen werden? Wie robust sind die Geräte, wie lange hält der Akku?</t>
  </si>
  <si>
    <t>K03</t>
  </si>
  <si>
    <t>Küchenbons &amp; Küchenmonitor</t>
  </si>
  <si>
    <t>Werden Bestellungen nach Posten (Küche, Bar, Pâtisserie) an Drucker oder Küchenmonitor verteilt? Lassen sich Gänge abrufen?</t>
  </si>
  <si>
    <t>K04</t>
  </si>
  <si>
    <t>Artikel, Menüs &amp; Varianten</t>
  </si>
  <si>
    <t>Lassen sich Menüs, Beilagen, Zusatzwünsche und Preisstufen (z. B. Mittagsmenü, Happy Hour) einfach pflegen?</t>
  </si>
  <si>
    <t>K05</t>
  </si>
  <si>
    <t>Allergene &amp; Deklaration</t>
  </si>
  <si>
    <t>Können Allergene und Herkunft pro Artikel hinterlegt und für Service und Gäste angezeigt werden?</t>
  </si>
  <si>
    <t>K06</t>
  </si>
  <si>
    <t>Rechnungen teilen &amp; zusammenführen</t>
  </si>
  <si>
    <t>Können Rechnungen nach Gast, Artikel oder Betrag geteilt und Tische zusammengeführt werden?</t>
  </si>
  <si>
    <t>K07</t>
  </si>
  <si>
    <t>Trinkgeld</t>
  </si>
  <si>
    <t>Wie wird Trinkgeld bei Kartenzahlung erfasst und den Mitarbeitenden zugeordnet?</t>
  </si>
  <si>
    <t>K08</t>
  </si>
  <si>
    <t>MWST Schweiz</t>
  </si>
  <si>
    <t>Werden Restaurant- und Take-away-Satz korrekt getrennt und auf der Quittung ausgewiesen? Sind Satzänderungen im Preis enthalten?</t>
  </si>
  <si>
    <t>K09</t>
  </si>
  <si>
    <t>Tagesabschluss &amp; Kassenbuch</t>
  </si>
  <si>
    <t>Wie lange dauert der Tagesabschluss? Gibt es ein revisionssicheres Journal und eine Abrechnung pro Mitarbeiter:in?</t>
  </si>
  <si>
    <t>K10</t>
  </si>
  <si>
    <t>Gutscheine an der Kasse</t>
  </si>
  <si>
    <t>Können Gutscheine verkauft und eingelöst werden? Wird der Restwert verfolgt?</t>
  </si>
  <si>
    <t>K11</t>
  </si>
  <si>
    <t>Bestellen &amp; Bezahlen per QR-Code</t>
  </si>
  <si>
    <t>Können Gäste am Tisch per QR-Code selbst bestellen und bezahlen?</t>
  </si>
  <si>
    <t>R01</t>
  </si>
  <si>
    <t>Online-Reservation</t>
  </si>
  <si>
    <t>Können Gäste rund um die Uhr über Website, Google und Social Media reservieren?</t>
  </si>
  <si>
    <t>R02</t>
  </si>
  <si>
    <t>Kapazitäts- &amp; Schichtsteuerung</t>
  </si>
  <si>
    <t>Lassen sich Sitzungen (z. B. 18:00 und 20:30), Tischdauer und Maximalkapazität pro Zeitfenster steuern?</t>
  </si>
  <si>
    <t>R03</t>
  </si>
  <si>
    <t>Schutz vor No-Shows</t>
  </si>
  <si>
    <t>Gibt es Kreditkartengarantie, Anzahlung oder Stornogebühren? Was kostet diese Funktion?</t>
  </si>
  <si>
    <t>R04</t>
  </si>
  <si>
    <t>Bestätigung &amp; Erinnerung</t>
  </si>
  <si>
    <t>Werden Bestätigungen und Erinnerungen automatisch per E-Mail oder SMS versendet? Was kostet eine SMS?</t>
  </si>
  <si>
    <t>R05</t>
  </si>
  <si>
    <t>Gästeprofil &amp; Notizen</t>
  </si>
  <si>
    <t>Werden Allergien, Vorlieben und Besuchshistorie pro Gast gespeichert, mit Einwilligung des Gastes?</t>
  </si>
  <si>
    <t>R06</t>
  </si>
  <si>
    <t>Warteliste &amp; Walk-ins</t>
  </si>
  <si>
    <t>Lassen sich Walk-ins und eine Warteliste erfassen?</t>
  </si>
  <si>
    <t>R07</t>
  </si>
  <si>
    <t>Telefon- &amp; E-Mail-Reservationen</t>
  </si>
  <si>
    <t>Lassen sich telefonische Reservationen schnell erfassen? Werden E-Mail-Anfragen ins System übernommen?</t>
  </si>
  <si>
    <t>R08</t>
  </si>
  <si>
    <t>Provisionsmodell</t>
  </si>
  <si>
    <t>Fallen Provisionen pro Gast oder Reservation an? Auch für Reservationen über die eigene Website?</t>
  </si>
  <si>
    <t>P01</t>
  </si>
  <si>
    <t>Dienstplan erstellen</t>
  </si>
  <si>
    <t>Wie schnell entsteht ein Wochenplan? Gibt es Vorlagen, Schichttausch und Verfügbarkeiten der Mitarbeitenden?</t>
  </si>
  <si>
    <t>P02</t>
  </si>
  <si>
    <t>L-GAV-Konformität</t>
  </si>
  <si>
    <t>Prüft das System Ruhezeiten, Höchstarbeitszeit, Ruhetage und Ferienanspruch nach L-GAV automatisch?</t>
  </si>
  <si>
    <t>P03</t>
  </si>
  <si>
    <t>Wie wird gestempelt (App, Terminal, Kasse)? Werden Soll- und Ist-Stunden automatisch abgeglichen?</t>
  </si>
  <si>
    <t>P04</t>
  </si>
  <si>
    <t>Absenzen &amp; Ferien</t>
  </si>
  <si>
    <t>Werden Ferien, Krankheit und Überstundensaldi pro Person geführt?</t>
  </si>
  <si>
    <t>P05</t>
  </si>
  <si>
    <t>App für Mitarbeitende</t>
  </si>
  <si>
    <t>Sehen Mitarbeitende Dienstplan, Saldi und Tauschanfragen in einer App?</t>
  </si>
  <si>
    <t>P06</t>
  </si>
  <si>
    <t>Planung nach Umsatz</t>
  </si>
  <si>
    <t>Kann der Personalbedarf anhand von Umsatz oder Reservationen geplant werden? Wird die Personalkostenquote angezeigt?</t>
  </si>
  <si>
    <t>P07</t>
  </si>
  <si>
    <t>Lohnvorbereitung</t>
  </si>
  <si>
    <t>Werden Stunden, Zuschläge und Absenzen für die Lohnbuchhaltung exportiert? Für welche Lohnsoftware?</t>
  </si>
  <si>
    <t>W01</t>
  </si>
  <si>
    <t>Lassen sich Rezepturen mit Wareneinsatz pro Portion hinterlegen? Werden Preisänderungen der Lieferanten automatisch nachgerechnet?</t>
  </si>
  <si>
    <t>W02</t>
  </si>
  <si>
    <t>Lagerbestand</t>
  </si>
  <si>
    <t>Wird der Lagerbestand pro Artikel und Lagerort geführt?</t>
  </si>
  <si>
    <t>W03</t>
  </si>
  <si>
    <t>Bestellwesen</t>
  </si>
  <si>
    <t>Können Bestellungen direkt an Lieferanten ausgelöst werden? Gibt es Bestellvorschläge?</t>
  </si>
  <si>
    <t>W04</t>
  </si>
  <si>
    <t>Inventur</t>
  </si>
  <si>
    <t>Ist die Inventur mobil per App möglich? Wie lange dauert sie im Vergleich zu heute?</t>
  </si>
  <si>
    <t>W05</t>
  </si>
  <si>
    <t>Wareneinsatz-Auswertung</t>
  </si>
  <si>
    <t>Zeigt das System Soll- und Ist-Wareneinsatz pro Periode und Warengruppe?</t>
  </si>
  <si>
    <t>W06</t>
  </si>
  <si>
    <t>Food-Waste erfassen</t>
  </si>
  <si>
    <t>Können Verluste und Abschriften erfasst und ausgewertet werden?</t>
  </si>
  <si>
    <t>W07</t>
  </si>
  <si>
    <t>Werden Lieferantenrechnungen digital erfasst und mit den Bestellungen abgeglichen?</t>
  </si>
  <si>
    <t>H01</t>
  </si>
  <si>
    <t>Zimmerplan &amp; Belegung</t>
  </si>
  <si>
    <t>Ist die Belegung übersichtlich dargestellt (Zimmerplan, Verfügbarkeiten, Gruppen)?</t>
  </si>
  <si>
    <t>H02</t>
  </si>
  <si>
    <t>Werden Verfügbarkeiten und Preise automatisch mit Buchungsplattformen synchronisiert? Welche Kanäle sind angebunden?</t>
  </si>
  <si>
    <t>H03</t>
  </si>
  <si>
    <t>Direktbuchung (Booking Engine)</t>
  </si>
  <si>
    <t>Gibt es eine eigene Buchungsmaske für die Website ohne Provision?</t>
  </si>
  <si>
    <t>H04</t>
  </si>
  <si>
    <t>Gästemeldung &amp; Kurtaxe</t>
  </si>
  <si>
    <t>Werden Gästemeldung und Kurtaxe nach den kantonalen Vorgaben unterstützt?</t>
  </si>
  <si>
    <t>H05</t>
  </si>
  <si>
    <t>Housekeeping</t>
  </si>
  <si>
    <t>Sieht das Housekeeping den Zimmerstatus mobil und kann ihn direkt ändern?</t>
  </si>
  <si>
    <t>H06</t>
  </si>
  <si>
    <t>Preise &amp; Raten</t>
  </si>
  <si>
    <t>Lassen sich Saisonpreise, Pakete und Mindestaufenthalte verwalten?</t>
  </si>
  <si>
    <t>E01</t>
  </si>
  <si>
    <t>Offerte &amp; Rechnung</t>
  </si>
  <si>
    <t>Werden Offerten und Rechnungen direkt aus dem System erstellt (MWST pro Position, QR-Rechnung)?</t>
  </si>
  <si>
    <t>E02</t>
  </si>
  <si>
    <t>Digitale Offertannahme</t>
  </si>
  <si>
    <t>Kann die Kundschaft die Offerte online annehmen und bestätigen?</t>
  </si>
  <si>
    <t>E03</t>
  </si>
  <si>
    <t>Raum- &amp; Ressourcenplanung</t>
  </si>
  <si>
    <t>Werden Räume, Mobiliar und Technik pro Anlass verwaltet? Werden Doppelbuchungen verhindert?</t>
  </si>
  <si>
    <t>E04</t>
  </si>
  <si>
    <t>Bestuhlungs- &amp; Raumplan</t>
  </si>
  <si>
    <t>Lassen sich Bestuhlungsvarianten pro Anlass darstellen?</t>
  </si>
  <si>
    <t>E05</t>
  </si>
  <si>
    <t>Ablaufblatt für Küche &amp; Service</t>
  </si>
  <si>
    <t>Erstellt das System ein Ablaufblatt (Function Sheet) mit Zeiten, Menü und Personenzahl?</t>
  </si>
  <si>
    <t>E06</t>
  </si>
  <si>
    <t>Kundenverwaltung &amp; Historie</t>
  </si>
  <si>
    <t>Werden Firmen- und Privatkunden mit ihren Anlässen und Umsätzen geführt?</t>
  </si>
  <si>
    <t>E07</t>
  </si>
  <si>
    <t>Partner &amp; Provisionen</t>
  </si>
  <si>
    <t>Lassen sich externe Partner (z. B. Blumen, Technik) und deren Provisionen erfassen?</t>
  </si>
  <si>
    <t>O01</t>
  </si>
  <si>
    <t>Eigener Bestellshop</t>
  </si>
  <si>
    <t>Gibt es einen eigenen Bestellshop für Take-away und Lieferung ohne Provision?</t>
  </si>
  <si>
    <t>O02</t>
  </si>
  <si>
    <t>Abholzeiten &amp; Kapazität</t>
  </si>
  <si>
    <t>Lassen sich Abholzeiten und die maximale Anzahl Bestellungen pro Zeitfenster steuern?</t>
  </si>
  <si>
    <t>O03</t>
  </si>
  <si>
    <t>Online-Zahlung</t>
  </si>
  <si>
    <t>Werden Online-Zahlungen (Karte, TWINT) direkt im Shop abgewickelt? Wie hoch sind die Gebühren?</t>
  </si>
  <si>
    <t>O04</t>
  </si>
  <si>
    <t>Artikel zentral pflegen</t>
  </si>
  <si>
    <t>Werden Artikel und Preise zentral gepflegt und automatisch auf alle Kanäle verteilt?</t>
  </si>
  <si>
    <t>M01</t>
  </si>
  <si>
    <t>Gästedatenbank</t>
  </si>
  <si>
    <t>Werden Gästedaten zentral gespeichert, mit Einwilligung und Löschfunktion gemäss Datenschutzgesetz?</t>
  </si>
  <si>
    <t>M02</t>
  </si>
  <si>
    <t>Newsletter &amp; Kampagnen</t>
  </si>
  <si>
    <t>Können Gäste gezielt per E-Mail oder SMS angesprochen werden (z. B. Geburtstag, Stammgäste)?</t>
  </si>
  <si>
    <t>M03</t>
  </si>
  <si>
    <t>Kundenkarte &amp; Bonusprogramm</t>
  </si>
  <si>
    <t>Gibt es ein Bonusprogramm oder eine digitale Kundenkarte?</t>
  </si>
  <si>
    <t>M04</t>
  </si>
  <si>
    <t>Online-Gutscheine</t>
  </si>
  <si>
    <t>Können Gutscheine online verkauft und an der Kasse eingelöst werden?</t>
  </si>
  <si>
    <t>M05</t>
  </si>
  <si>
    <t>Bewertungen</t>
  </si>
  <si>
    <t>Werden Gäste nach dem Besuch um eine Bewertung gebeten? Werden Bewertungen gebündelt angezeigt?</t>
  </si>
  <si>
    <t>Auswertung &amp; Reporting</t>
  </si>
  <si>
    <t>X01</t>
  </si>
  <si>
    <t>Umsatz in Echtzeit</t>
  </si>
  <si>
    <t>Sind Umsatz und Kennzahlen jederzeit live einsehbar, auch mobil?</t>
  </si>
  <si>
    <t>X02</t>
  </si>
  <si>
    <t>Standardberichte</t>
  </si>
  <si>
    <t>Welche Berichte gibt es (pro Stunde, Artikel, Mitarbeiter:in, Warengruppe, Zahlungsart)? Muster zeigen lassen.</t>
  </si>
  <si>
    <t>X03</t>
  </si>
  <si>
    <t>Eigene Auswertungen</t>
  </si>
  <si>
    <t>Lassen sich Berichte filtern, anpassen und als Excel exportieren?</t>
  </si>
  <si>
    <t>X04</t>
  </si>
  <si>
    <t>Dashboard mit Kennzahlen</t>
  </si>
  <si>
    <t>Gibt es ein Dashboard mit den wichtigsten Kennzahlen (z. B. Durchschnittsbon, Personalkostenquote, Auslastung)?</t>
  </si>
  <si>
    <t>X05</t>
  </si>
  <si>
    <t>Historie &amp; Vorjahresvergleich</t>
  </si>
  <si>
    <t>Wie lange bleiben Daten gespeichert? Sind Vergleiche mit Vorwoche und Vorjahr möglich?</t>
  </si>
  <si>
    <t>X06</t>
  </si>
  <si>
    <t>Standortvergleich</t>
  </si>
  <si>
    <t>Lassen sich die Kennzahlen mehrerer Standorte nebeneinander vergleichen?</t>
  </si>
  <si>
    <t>Sicherheit &amp; Datenschutz</t>
  </si>
  <si>
    <t>S01</t>
  </si>
  <si>
    <t>Datenstandort</t>
  </si>
  <si>
    <t>Wo werden die Daten gespeichert (Schweiz, EU, andere)? Wer betreibt das Rechenzentrum?</t>
  </si>
  <si>
    <t>S02</t>
  </si>
  <si>
    <t>Datenschutz (DSG / DSGVO)</t>
  </si>
  <si>
    <t>Erfüllt die Lösung das Schweizer Datenschutzgesetz? Gibt es einen Vertrag zur Auftragsbearbeitung?</t>
  </si>
  <si>
    <t>S03</t>
  </si>
  <si>
    <t>Rollen &amp; Rechte</t>
  </si>
  <si>
    <t>Lassen sich Rechte pro Rolle vergeben (z. B. Storno nur durch die Leitung)? Wird protokolliert, wer was geändert hat?</t>
  </si>
  <si>
    <t>S04</t>
  </si>
  <si>
    <t>Backup &amp; Wiederherstellung</t>
  </si>
  <si>
    <t>Wie oft werden die Daten gesichert? Wie schnell ist das System nach einem Ausfall wieder verfügbar?</t>
  </si>
  <si>
    <t>S05</t>
  </si>
  <si>
    <t>Sicherheitsstandards</t>
  </si>
  <si>
    <t>Gibt es Zertifizierungen (z. B. ISO 27001), verschlüsselte Übertragung und eine Zwei-Faktor-Anmeldung?</t>
  </si>
  <si>
    <t>Support &amp; Schulung</t>
  </si>
  <si>
    <t>G01</t>
  </si>
  <si>
    <t>Support zu Betriebszeiten</t>
  </si>
  <si>
    <t>Ist der Support erreichbar, wenn der Betrieb läuft, also auch abends, am Wochenende und an Feiertagen?</t>
  </si>
  <si>
    <t>G02</t>
  </si>
  <si>
    <t>Reaktionszeit bei Ausfall</t>
  </si>
  <si>
    <t>Wie schnell reagiert der Support bei einem Ausfall? Ist das vertraglich zugesichert (SLA)?</t>
  </si>
  <si>
    <t>G03</t>
  </si>
  <si>
    <t>Support-Kanäle &amp; Sprache</t>
  </si>
  <si>
    <t>Telefon, Chat oder E-Mail? In welcher Sprache? Kostet der Support extra?</t>
  </si>
  <si>
    <t>G04</t>
  </si>
  <si>
    <t>Support vor Ort</t>
  </si>
  <si>
    <t>Gibt es Techniker:innen in der Region? Was kostet ein Einsatz vor Ort?</t>
  </si>
  <si>
    <t>G05</t>
  </si>
  <si>
    <t>Einführung &amp; Schulung</t>
  </si>
  <si>
    <t>Wie läuft die Einführung ab (Dauer, vor Ort oder online)? Wer schult Mitarbeitende und Administration?</t>
  </si>
  <si>
    <t>G06</t>
  </si>
  <si>
    <t>Schulungsmaterial</t>
  </si>
  <si>
    <t>Gibt es Anleitungen und Videos, z. B. für neue Mitarbeitende?</t>
  </si>
  <si>
    <t>Anbieter &amp; Referenzen</t>
  </si>
  <si>
    <t>V01</t>
  </si>
  <si>
    <t>Referenzen ähnlicher Betriebe</t>
  </si>
  <si>
    <t>Kann der Anbieter 2 bis 3 Referenzen ähnlicher Grösse und Art nennen? Mindestens eine Referenz anrufen.</t>
  </si>
  <si>
    <t>V02</t>
  </si>
  <si>
    <t>Präsenz in der Schweiz</t>
  </si>
  <si>
    <t>Hat der Anbieter Sitz, Support und Partner in der Schweiz?</t>
  </si>
  <si>
    <t>V03</t>
  </si>
  <si>
    <t>Erfahrung im Gastgewerbe</t>
  </si>
  <si>
    <t>Seit wann ist die Lösung im Gastgewerbe im Einsatz? Wie viele Betriebe nutzen sie in der Schweiz?</t>
  </si>
  <si>
    <t>V04</t>
  </si>
  <si>
    <t>Weiterentwicklung</t>
  </si>
  <si>
    <t>Gibt es eine Produkt-Roadmap? Wie oft kommen Updates? Fliessen Kundenwünsche ein?</t>
  </si>
  <si>
    <t>V05</t>
  </si>
  <si>
    <t>Test im eigenen Betrieb</t>
  </si>
  <si>
    <t>Ist ein Test im eigenen Betrieb möglich, z. B. an einem Freitagabend?</t>
  </si>
  <si>
    <t>Eigene Kriterien</t>
  </si>
  <si>
    <t>Z01</t>
  </si>
  <si>
    <t>Z02</t>
  </si>
  <si>
    <t>Z03</t>
  </si>
  <si>
    <t>Z04</t>
  </si>
  <si>
    <t>Z05</t>
  </si>
  <si>
    <t>Fragebogen für Anbieter</t>
  </si>
  <si>
    <t>Betrieb</t>
  </si>
  <si>
    <t>Gesucht</t>
  </si>
  <si>
    <t>Grösse</t>
  </si>
  <si>
    <t>Antwort bitte bis</t>
  </si>
  <si>
    <t>Bitte jede Frage mit Ja, Teilweise oder Nein beantworten und allfällige Mehrkosten in CHF angeben. Fragen mit «Muss» sind Ausschlusskriterien: Ein Nein führt zum Ausschluss. Ausführliche Erläuterungen bitte als Beilage.</t>
  </si>
  <si>
    <t>Muss</t>
  </si>
  <si>
    <t>Antwort: Ja / Teilweise / Nein</t>
  </si>
  <si>
    <t>Erläuterung</t>
  </si>
  <si>
    <t>Mehrkosten (CHF)</t>
  </si>
  <si>
    <t>Anbietervergleich: Wie gut erfüllen die Anbieter deine Kriterien?</t>
  </si>
  <si>
    <t>Trage oben die Eckdaten pro Anbieter ein. Bewerte danach jedes Kriterium nach Demo, Offerte und Fragebogen. Gewicht und KO kommen aus Blatt 4.</t>
  </si>
  <si>
    <t>Anbieter</t>
  </si>
  <si>
    <t>Produkt / Paket</t>
  </si>
  <si>
    <t>Einmalkosten (CHF): Einrichtung, Hardware, Schulung</t>
  </si>
  <si>
    <t>Laufende Kosten pro Monat (CHF), inkl. geschätzter Gebühren</t>
  </si>
  <si>
    <t>Mindestlaufzeit (Monate)</t>
  </si>
  <si>
    <t>Demo / Test am</t>
  </si>
  <si>
    <t>Referenz angerufen?</t>
  </si>
  <si>
    <t>Erfüllung: 3 = im Standard voll erfüllt · 2 = im Standard teilweise erfüllt · 1 = nur mit Anpassung oder Mehrkosten · 0 = nicht erfüllt.   Aus dem Fragebogen: Ja = 3, Teilweise = 2, nur gegen Aufpreis = 1, Nein = 0.</t>
  </si>
  <si>
    <t>Gewicht</t>
  </si>
  <si>
    <t>Erfüllung (0–3)</t>
  </si>
  <si>
    <t>Punkte</t>
  </si>
  <si>
    <t>Auswertung</t>
  </si>
  <si>
    <t>Ist-Kosten, Rangliste und Stärken pro Kategorie. Alles wird automatisch berechnet.</t>
  </si>
  <si>
    <t>Ist-Situation: Was dich die heutige Systemlandschaft kostet</t>
  </si>
  <si>
    <t>Systemkosten pro Jahr (CHF)</t>
  </si>
  <si>
    <t>Manueller Aufwand (Std. pro Jahr)</t>
  </si>
  <si>
    <t>Manueller Aufwand (CHF pro Jahr)</t>
  </si>
  <si>
    <t>Total heute (CHF pro Jahr)</t>
  </si>
  <si>
    <t>IT-Kostenquote (Systemkosten in % vom Umsatz)</t>
  </si>
  <si>
    <t>Anbietervergleich</t>
  </si>
  <si>
    <t>Maximum</t>
  </si>
  <si>
    <t>KO verletzt</t>
  </si>
  <si>
    <t>Bewertet</t>
  </si>
  <si>
    <t>Status</t>
  </si>
  <si>
    <t>Einmalkosten (CHF)</t>
  </si>
  <si>
    <t>Gesamtkosten 3 Jahre (CHF)</t>
  </si>
  <si>
    <t>Punkte pro CHF 1'000</t>
  </si>
  <si>
    <t>Im Budget?</t>
  </si>
  <si>
    <t>Rang</t>
  </si>
  <si>
    <t>h</t>
  </si>
  <si>
    <t>Erfüllungsgrad = erreichte Punkte ÷ maximal mögliche Punkte (Gewicht × 3) über alle relevanten Kriterien. Gesamtkosten 3 Jahre = Einmalkosten + 36 × laufende Kosten. Die Rangliste ist eine Entscheidungshilfe, kein Entscheid: Teste die zwei bestplatzierten Anbieter im eigenen Betrieb und ruf je eine Referenz an.</t>
  </si>
  <si>
    <t>Erfüllungsgrad pro Kategorie</t>
  </si>
  <si>
    <t>Gewicht (Summe)</t>
  </si>
  <si>
    <t>Ja/Nein</t>
  </si>
  <si>
    <t>Fokus</t>
  </si>
  <si>
    <t>Anlass</t>
  </si>
  <si>
    <t>Datenfluss heute</t>
  </si>
  <si>
    <t>Zufriedenheit</t>
  </si>
  <si>
    <t>Antwort Anbieter</t>
  </si>
  <si>
    <t>Ja</t>
  </si>
  <si>
    <t>Kassensystem</t>
  </si>
  <si>
    <t>Restaurant</t>
  </si>
  <si>
    <t>Vertrag läuft aus</t>
  </si>
  <si>
    <t>Automatisch</t>
  </si>
  <si>
    <t>X</t>
  </si>
  <si>
    <t>Nein</t>
  </si>
  <si>
    <t>Café / Bäckerei-Café</t>
  </si>
  <si>
    <t>Unzufrieden mit heutiger Lösung</t>
  </si>
  <si>
    <t>Excel</t>
  </si>
  <si>
    <t>Teilweise</t>
  </si>
  <si>
    <t>Bar / Club</t>
  </si>
  <si>
    <t>Neueröffnung</t>
  </si>
  <si>
    <t>Papier</t>
  </si>
  <si>
    <t>Fehlt</t>
  </si>
  <si>
    <t>Hotel mit Restaurant</t>
  </si>
  <si>
    <t>Wachstum / neuer Standort</t>
  </si>
  <si>
    <t>Nicht relevant</t>
  </si>
  <si>
    <t>Hotel garni</t>
  </si>
  <si>
    <t>Neue Funktion nötig</t>
  </si>
  <si>
    <t>Nicht nötig</t>
  </si>
  <si>
    <t>Event- &amp; Bankettsoftware</t>
  </si>
  <si>
    <t>Eventlocation</t>
  </si>
  <si>
    <t>Anderes</t>
  </si>
  <si>
    <t>Gesamtlösung (mehrere Bereiche)</t>
  </si>
  <si>
    <t>Gemeinschaftsgastronomie</t>
  </si>
  <si>
    <t>Take-away / Imbiss</t>
  </si>
  <si>
    <t>Mehrere Konzepte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</si>
</sst>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%"/>
    <numFmt numFmtId="166" formatCode="0.0"/>
  </numFmts>
  <fonts count="25" x14ac:knownFonts="1">
    <font>
      <sz val="11"/>
      <color theme="1"/>
      <name val="Calibri"/>
      <family val="2"/>
      <charset val="1"/>
    </font>
    <font>
      <b/>
      <sz val="22"/>
      <color rgb="FF1F3D36"/>
      <name val="Arial"/>
      <charset val="1"/>
    </font>
    <font>
      <sz val="12"/>
      <color rgb="FF6B6B6B"/>
      <name val="Arial"/>
      <charset val="1"/>
    </font>
    <font>
      <sz val="10"/>
      <color rgb="FF6B6B6B"/>
      <name val="Arial"/>
      <charset val="1"/>
    </font>
    <font>
      <b/>
      <sz val="11"/>
      <color rgb="FF1F3D36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  <font>
      <sz val="10"/>
      <color rgb="FF222222"/>
      <name val="Arial"/>
      <charset val="1"/>
    </font>
    <font>
      <b/>
      <sz val="10"/>
      <color rgb="FF222222"/>
      <name val="Arial"/>
      <charset val="1"/>
    </font>
    <font>
      <sz val="10"/>
      <color rgb="FF1F4E9E"/>
      <name val="Arial"/>
      <charset val="1"/>
    </font>
    <font>
      <i/>
      <sz val="9"/>
      <color rgb="FF8A8A8A"/>
      <name val="Arial"/>
      <charset val="1"/>
    </font>
    <font>
      <b/>
      <sz val="10"/>
      <color rgb="FFB5651D"/>
      <name val="Arial"/>
      <charset val="1"/>
    </font>
    <font>
      <sz val="9"/>
      <color rgb="FF6B6B6B"/>
      <name val="Arial"/>
      <charset val="1"/>
    </font>
    <font>
      <b/>
      <sz val="9"/>
      <color rgb="FF1F3D36"/>
      <name val="Arial"/>
      <charset val="1"/>
    </font>
    <font>
      <b/>
      <sz val="18"/>
      <color rgb="FF1F3D36"/>
      <name val="Arial"/>
      <charset val="1"/>
    </font>
    <font>
      <b/>
      <sz val="10"/>
      <color rgb="FF1F3D36"/>
      <name val="Arial"/>
      <charset val="1"/>
    </font>
    <font>
      <b/>
      <sz val="10"/>
      <color rgb="FF1F4E9E"/>
      <name val="Arial"/>
      <charset val="1"/>
    </font>
    <font>
      <sz val="8"/>
      <color rgb="FF6B6B6B"/>
      <name val="Arial"/>
      <charset val="1"/>
    </font>
    <font>
      <sz val="8"/>
      <color rgb="FFBBBBBB"/>
      <name val="Arial"/>
      <charset val="1"/>
    </font>
    <font>
      <b/>
      <sz val="10"/>
      <color rgb="FF9C0006"/>
      <name val="Arial"/>
      <charset val="1"/>
    </font>
    <font>
      <b/>
      <sz val="9"/>
      <color rgb="FFFFFFFF"/>
      <name val="Arial"/>
      <charset val="1"/>
    </font>
    <font>
      <b/>
      <sz val="9"/>
      <color rgb="FF6B6B6B"/>
      <name val="Arial"/>
      <charset val="1"/>
    </font>
    <font>
      <b/>
      <sz val="16"/>
      <color rgb="FF1F3D36"/>
      <name val="Arial"/>
      <charset val="1"/>
    </font>
    <font>
      <b/>
      <sz val="16"/>
      <color rgb="FFFFFFFF"/>
      <name val="Arial"/>
      <charset val="1"/>
    </font>
    <font>
      <b/>
      <sz val="11"/>
      <color rgb="FFB5651D"/>
      <name val="Arial"/>
      <charset val="1"/>
    </font>
  </fonts>
  <fills count="15">
    <fill>
      <patternFill patternType="none"/>
    </fill>
    <fill>
      <patternFill patternType="gray125"/>
    </fill>
    <fill>
      <patternFill patternType="solid">
        <fgColor rgb="FFE6EEEA"/>
        <bgColor rgb="FFEFEFEF"/>
      </patternFill>
    </fill>
    <fill>
      <patternFill patternType="solid">
        <fgColor rgb="FF1F3D36"/>
        <bgColor rgb="FF222222"/>
      </patternFill>
    </fill>
    <fill>
      <patternFill patternType="solid">
        <fgColor rgb="FF4A7A6D"/>
        <bgColor rgb="FF6B6B6B"/>
      </patternFill>
    </fill>
    <fill>
      <patternFill patternType="solid">
        <fgColor rgb="FFB5651D"/>
        <bgColor rgb="FF7F6000"/>
      </patternFill>
    </fill>
    <fill>
      <patternFill patternType="solid">
        <fgColor rgb="FFFFF4CC"/>
        <bgColor rgb="FFFCE4D6"/>
      </patternFill>
    </fill>
    <fill>
      <patternFill patternType="solid">
        <fgColor rgb="FFF3F3F3"/>
        <bgColor rgb="FFF4F7F5"/>
      </patternFill>
    </fill>
    <fill>
      <patternFill patternType="solid">
        <fgColor rgb="FFFAFAFA"/>
        <bgColor rgb="FFF4F7F5"/>
      </patternFill>
    </fill>
    <fill>
      <patternFill patternType="solid">
        <fgColor rgb="FFF4CCCC"/>
        <bgColor rgb="FFF8D7D3"/>
      </patternFill>
    </fill>
    <fill>
      <patternFill patternType="solid">
        <fgColor rgb="FFFFE699"/>
        <bgColor rgb="FFFFF4CC"/>
      </patternFill>
    </fill>
    <fill>
      <patternFill patternType="solid">
        <fgColor rgb="FFC6E0B4"/>
        <bgColor rgb="FFCFD8D4"/>
      </patternFill>
    </fill>
    <fill>
      <patternFill patternType="solid">
        <fgColor rgb="FFDDEBF7"/>
        <bgColor rgb="FFE6EEEA"/>
      </patternFill>
    </fill>
    <fill>
      <patternFill patternType="solid">
        <fgColor rgb="FFF4F7F5"/>
        <bgColor rgb="FFF3F3F3"/>
      </patternFill>
    </fill>
    <fill>
      <patternFill patternType="solid">
        <fgColor rgb="FF3D5F57"/>
        <bgColor rgb="FF375623"/>
      </patternFill>
    </fill>
  </fills>
  <borders count="4">
    <border>
      <left/>
      <right/>
      <top/>
      <bottom/>
      <diagonal/>
    </border>
    <border>
      <left style="thin">
        <color rgb="FFCFD8D4"/>
      </left>
      <right style="thin">
        <color rgb="FFCFD8D4"/>
      </right>
      <top style="thin">
        <color rgb="FFCFD8D4"/>
      </top>
      <bottom style="thin">
        <color rgb="FFCFD8D4"/>
      </bottom>
      <diagonal/>
    </border>
    <border>
      <left style="thin">
        <color rgb="FFCFD8D4"/>
      </left>
      <right style="thin">
        <color rgb="FFCFD8D4"/>
      </right>
      <top style="thin">
        <color rgb="FFCFD8D4"/>
      </top>
      <bottom/>
      <diagonal/>
    </border>
    <border>
      <left style="thin">
        <color rgb="FFCFD8D4"/>
      </left>
      <right/>
      <top style="thin">
        <color rgb="FFCFD8D4"/>
      </top>
      <bottom style="thin">
        <color rgb="FFCFD8D4"/>
      </bottom>
      <diagonal/>
    </border>
  </borders>
  <cellStyleXfs count="1">
    <xf numFmtId="0" fontId="0" fillId="0" borderId="0"/>
  </cellStyleXfs>
  <cellXfs count="108">
    <xf numFmtId="0" fontId="0" fillId="0" borderId="0" xfId="0"/>
    <xf numFmtId="3" fontId="9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13" borderId="0" xfId="0" applyFont="1" applyFill="1" applyAlignment="1">
      <alignment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4" fillId="2" borderId="0" xfId="0" applyFont="1" applyFill="1"/>
    <xf numFmtId="0" fontId="3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2" borderId="0" xfId="0" applyFont="1" applyFill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0" xfId="0" applyFont="1"/>
    <xf numFmtId="0" fontId="12" fillId="0" borderId="0" xfId="0" applyFont="1"/>
    <xf numFmtId="0" fontId="14" fillId="0" borderId="0" xfId="0" applyFont="1"/>
    <xf numFmtId="0" fontId="15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9" fillId="6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3" fontId="9" fillId="6" borderId="1" xfId="0" applyNumberFormat="1" applyFont="1" applyFill="1" applyBorder="1" applyAlignment="1">
      <alignment vertical="top" wrapText="1"/>
    </xf>
    <xf numFmtId="0" fontId="16" fillId="6" borderId="1" xfId="0" applyFont="1" applyFill="1" applyBorder="1" applyAlignment="1">
      <alignment vertical="top" wrapText="1"/>
    </xf>
    <xf numFmtId="164" fontId="9" fillId="6" borderId="1" xfId="0" applyNumberFormat="1" applyFont="1" applyFill="1" applyBorder="1" applyAlignment="1">
      <alignment vertical="top" wrapText="1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8" fillId="7" borderId="1" xfId="0" applyFont="1" applyFill="1" applyBorder="1" applyAlignment="1">
      <alignment horizontal="center" vertical="top"/>
    </xf>
    <xf numFmtId="0" fontId="4" fillId="2" borderId="0" xfId="0" applyFont="1" applyFill="1"/>
    <xf numFmtId="0" fontId="7" fillId="2" borderId="0" xfId="0" applyFont="1" applyFill="1"/>
    <xf numFmtId="1" fontId="8" fillId="7" borderId="1" xfId="0" applyNumberFormat="1" applyFont="1" applyFill="1" applyBorder="1" applyAlignment="1">
      <alignment horizontal="right" vertical="top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right" vertical="top"/>
    </xf>
    <xf numFmtId="0" fontId="8" fillId="12" borderId="1" xfId="0" applyFont="1" applyFill="1" applyBorder="1" applyAlignment="1">
      <alignment horizontal="center" vertical="center" wrapText="1"/>
    </xf>
    <xf numFmtId="164" fontId="8" fillId="7" borderId="1" xfId="0" applyNumberFormat="1" applyFont="1" applyFill="1" applyBorder="1" applyAlignment="1">
      <alignment horizontal="right" vertical="top"/>
    </xf>
    <xf numFmtId="0" fontId="10" fillId="8" borderId="1" xfId="0" applyFont="1" applyFill="1" applyBorder="1" applyAlignment="1">
      <alignment vertical="top" wrapText="1"/>
    </xf>
    <xf numFmtId="3" fontId="10" fillId="8" borderId="1" xfId="0" applyNumberFormat="1" applyFont="1" applyFill="1" applyBorder="1" applyAlignment="1">
      <alignment vertical="top" wrapText="1"/>
    </xf>
    <xf numFmtId="164" fontId="10" fillId="8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1" fontId="9" fillId="6" borderId="1" xfId="0" applyNumberFormat="1" applyFont="1" applyFill="1" applyBorder="1" applyAlignment="1">
      <alignment horizontal="center" vertical="top"/>
    </xf>
    <xf numFmtId="164" fontId="7" fillId="7" borderId="1" xfId="0" applyNumberFormat="1" applyFont="1" applyFill="1" applyBorder="1" applyAlignment="1">
      <alignment vertical="top" wrapText="1"/>
    </xf>
    <xf numFmtId="164" fontId="18" fillId="0" borderId="0" xfId="0" applyNumberFormat="1" applyFont="1"/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3" fontId="7" fillId="7" borderId="1" xfId="0" applyNumberFormat="1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center" vertical="top"/>
    </xf>
    <xf numFmtId="0" fontId="11" fillId="0" borderId="0" xfId="0" applyFont="1"/>
    <xf numFmtId="0" fontId="15" fillId="0" borderId="0" xfId="0" applyFont="1"/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12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7" fillId="7" borderId="1" xfId="0" applyFont="1" applyFill="1" applyBorder="1" applyAlignment="1">
      <alignment horizontal="center" vertical="top"/>
    </xf>
    <xf numFmtId="1" fontId="8" fillId="7" borderId="1" xfId="0" applyNumberFormat="1" applyFont="1" applyFill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3" fillId="0" borderId="1" xfId="0" applyFont="1" applyBorder="1"/>
    <xf numFmtId="0" fontId="8" fillId="0" borderId="0" xfId="0" applyFont="1"/>
    <xf numFmtId="164" fontId="9" fillId="6" borderId="1" xfId="0" applyNumberFormat="1" applyFont="1" applyFill="1" applyBorder="1" applyAlignment="1">
      <alignment horizontal="left"/>
    </xf>
    <xf numFmtId="0" fontId="12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9" fillId="0" borderId="0" xfId="0" applyFont="1" applyAlignment="1">
      <alignment horizontal="center" vertical="top"/>
    </xf>
    <xf numFmtId="0" fontId="9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0" fontId="20" fillId="14" borderId="1" xfId="0" applyFont="1" applyFill="1" applyBorder="1" applyAlignment="1">
      <alignment horizontal="center" vertical="center" wrapText="1"/>
    </xf>
    <xf numFmtId="1" fontId="7" fillId="7" borderId="1" xfId="0" applyNumberFormat="1" applyFont="1" applyFill="1" applyBorder="1" applyAlignment="1">
      <alignment horizontal="center" vertical="top"/>
    </xf>
    <xf numFmtId="0" fontId="21" fillId="13" borderId="0" xfId="0" applyFont="1" applyFill="1" applyAlignment="1">
      <alignment horizontal="center" vertical="center" wrapText="1"/>
    </xf>
    <xf numFmtId="3" fontId="22" fillId="13" borderId="0" xfId="0" applyNumberFormat="1" applyFont="1" applyFill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7" fillId="7" borderId="1" xfId="0" applyNumberFormat="1" applyFont="1" applyFill="1" applyBorder="1" applyAlignment="1">
      <alignment horizontal="center" vertical="center" wrapText="1"/>
    </xf>
    <xf numFmtId="9" fontId="8" fillId="7" borderId="1" xfId="0" applyNumberFormat="1" applyFont="1" applyFill="1" applyBorder="1" applyAlignment="1">
      <alignment horizontal="center"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9" fontId="7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166" fontId="7" fillId="7" borderId="1" xfId="0" applyNumberFormat="1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1" xfId="0" applyFont="1" applyBorder="1" applyAlignment="1">
      <alignment vertical="center"/>
    </xf>
    <xf numFmtId="1" fontId="9" fillId="6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0" fontId="11" fillId="13" borderId="0" xfId="0" applyFont="1" applyFill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3" fontId="22" fillId="13" borderId="0" xfId="0" applyNumberFormat="1" applyFont="1" applyFill="1" applyAlignment="1">
      <alignment horizontal="center" vertical="center"/>
    </xf>
    <xf numFmtId="3" fontId="23" fillId="5" borderId="0" xfId="0" applyNumberFormat="1" applyFont="1" applyFill="1" applyAlignment="1">
      <alignment horizontal="center" vertical="center"/>
    </xf>
    <xf numFmtId="165" fontId="22" fillId="13" borderId="0" xfId="0" applyNumberFormat="1" applyFont="1" applyFill="1" applyAlignment="1">
      <alignment horizontal="center" vertical="center"/>
    </xf>
    <xf numFmtId="1" fontId="22" fillId="13" borderId="0" xfId="0" applyNumberFormat="1" applyFont="1" applyFill="1" applyAlignment="1">
      <alignment horizontal="center" vertical="center"/>
    </xf>
    <xf numFmtId="164" fontId="22" fillId="13" borderId="0" xfId="0" applyNumberFormat="1" applyFont="1" applyFill="1" applyAlignment="1">
      <alignment horizontal="center" vertical="center"/>
    </xf>
    <xf numFmtId="0" fontId="24" fillId="0" borderId="0" xfId="0" applyFont="1" applyAlignment="1">
      <alignment vertical="center" wrapText="1"/>
    </xf>
  </cellXfs>
  <cellStyles count="1">
    <cellStyle name="Normal" xfId="0" builtinId="0"/>
  </cellStyles>
  <dxfs count="50">
    <dxf>
      <font>
        <b/>
        <sz val="12"/>
        <color rgb="FFFFFFFF"/>
        <name val="Arial"/>
        <charset val="1"/>
      </font>
      <fill>
        <patternFill>
          <bgColor rgb="FFB5651D"/>
        </patternFill>
      </fill>
    </dxf>
    <dxf>
      <font>
        <b/>
        <sz val="10"/>
        <color rgb="FF9C0006"/>
        <name val="Arial"/>
        <charset val="1"/>
      </font>
    </dxf>
    <dxf>
      <font>
        <b/>
        <sz val="10"/>
        <color rgb="FF7F6000"/>
        <name val="Arial"/>
        <charset val="1"/>
      </font>
      <fill>
        <patternFill>
          <bgColor rgb="FFFFE699"/>
        </patternFill>
      </fill>
    </dxf>
    <dxf>
      <font>
        <b/>
        <sz val="10"/>
        <color rgb="FF375623"/>
        <name val="Arial"/>
        <charset val="1"/>
      </font>
      <fill>
        <patternFill>
          <bgColor rgb="FFC6E0B4"/>
        </patternFill>
      </fill>
    </dxf>
    <dxf>
      <font>
        <b/>
        <sz val="10"/>
        <color rgb="FF9C0006"/>
        <name val="Arial"/>
        <charset val="1"/>
      </font>
      <fill>
        <patternFill>
          <bgColor rgb="FFF4CCCC"/>
        </patternFill>
      </fill>
    </dxf>
    <dxf>
      <font>
        <b/>
        <sz val="10"/>
        <color rgb="FF9C0006"/>
        <name val="Arial"/>
        <charset val="1"/>
      </font>
    </dxf>
    <dxf>
      <font>
        <sz val="10"/>
        <color rgb="FFB0B0B0"/>
        <name val="Arial"/>
        <charset val="1"/>
      </font>
    </dxf>
    <dxf>
      <fill>
        <patternFill>
          <bgColor rgb="FFC6E0B4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F4CCCC"/>
        </patternFill>
      </fill>
    </dxf>
    <dxf>
      <font>
        <b/>
        <sz val="10"/>
        <color rgb="FFFFFFFF"/>
        <name val="Arial"/>
        <charset val="1"/>
      </font>
      <fill>
        <patternFill>
          <bgColor rgb="FFC0392B"/>
        </patternFill>
      </fill>
    </dxf>
    <dxf>
      <font>
        <sz val="10"/>
        <color rgb="FFB0B0B0"/>
        <name val="Arial"/>
        <charset val="1"/>
      </font>
      <fill>
        <patternFill>
          <bgColor rgb="FFEFEFEF"/>
        </patternFill>
      </fill>
    </dxf>
    <dxf>
      <fill>
        <patternFill>
          <bgColor rgb="FFC6E0B4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F4CCCC"/>
        </patternFill>
      </fill>
    </dxf>
    <dxf>
      <font>
        <b/>
        <sz val="10"/>
        <color rgb="FFFFFFFF"/>
        <name val="Arial"/>
        <charset val="1"/>
      </font>
      <fill>
        <patternFill>
          <bgColor rgb="FFC0392B"/>
        </patternFill>
      </fill>
    </dxf>
    <dxf>
      <font>
        <sz val="10"/>
        <color rgb="FFB0B0B0"/>
        <name val="Arial"/>
        <charset val="1"/>
      </font>
      <fill>
        <patternFill>
          <bgColor rgb="FFEFEFEF"/>
        </patternFill>
      </fill>
    </dxf>
    <dxf>
      <font>
        <sz val="10"/>
        <color rgb="FFB0B0B0"/>
        <name val="Arial"/>
        <charset val="1"/>
      </font>
      <fill>
        <patternFill>
          <bgColor rgb="FFEFEFEF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F4CCCC"/>
        </patternFill>
      </fill>
    </dxf>
    <dxf>
      <font>
        <b/>
        <sz val="10"/>
        <color rgb="FFFFFFFF"/>
        <name val="Arial"/>
        <charset val="1"/>
      </font>
      <fill>
        <patternFill>
          <bgColor rgb="FFC0392B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F4CCCC"/>
        </patternFill>
      </fill>
    </dxf>
    <dxf>
      <font>
        <b/>
        <sz val="10"/>
        <color rgb="FFFFFFFF"/>
        <name val="Arial"/>
        <charset val="1"/>
      </font>
      <fill>
        <patternFill>
          <bgColor rgb="FFC0392B"/>
        </patternFill>
      </fill>
    </dxf>
    <dxf>
      <font>
        <sz val="10"/>
        <color rgb="FFB0B0B0"/>
        <name val="Arial"/>
        <charset val="1"/>
      </font>
      <fill>
        <patternFill>
          <bgColor rgb="FFEFEFEF"/>
        </patternFill>
      </fill>
    </dxf>
    <dxf>
      <font>
        <sz val="10"/>
        <color rgb="FFB0B0B0"/>
        <name val="Arial"/>
        <charset val="1"/>
      </font>
    </dxf>
    <dxf>
      <fill>
        <patternFill>
          <bgColor rgb="FFFFF4CC"/>
        </patternFill>
      </fill>
      <border diagonalUp="0" diagonalDown="0">
        <left style="thin">
          <color rgb="FFCFD8D4"/>
        </left>
        <right style="thin">
          <color rgb="FFCFD8D4"/>
        </right>
        <top style="thin">
          <color rgb="FFCFD8D4"/>
        </top>
        <bottom style="thin">
          <color rgb="FFCFD8D4"/>
        </bottom>
      </border>
    </dxf>
    <dxf>
      <border diagonalUp="0" diagonalDown="0">
        <left style="thin">
          <color rgb="FFCFD8D4"/>
        </left>
        <right style="thin">
          <color rgb="FFCFD8D4"/>
        </right>
        <top style="thin">
          <color rgb="FFCFD8D4"/>
        </top>
        <bottom style="thin">
          <color rgb="FFCFD8D4"/>
        </bottom>
      </border>
    </dxf>
    <dxf>
      <font>
        <b/>
        <sz val="10"/>
        <color rgb="FF9C0006"/>
        <name val="Arial"/>
        <charset val="1"/>
      </font>
      <fill>
        <patternFill>
          <bgColor rgb="FFF8D7D3"/>
        </patternFill>
      </fill>
    </dxf>
    <dxf>
      <font>
        <b/>
        <sz val="10"/>
        <color rgb="FF2E7D32"/>
        <name val="Arial"/>
        <charset val="1"/>
      </font>
    </dxf>
    <dxf>
      <font>
        <sz val="10"/>
        <color rgb="FFA6A6A6"/>
        <name val="Arial"/>
        <charset val="1"/>
      </font>
    </dxf>
    <dxf>
      <font>
        <b/>
        <sz val="10"/>
        <color rgb="FF9C0006"/>
        <name val="Arial"/>
        <charset val="1"/>
      </font>
    </dxf>
    <dxf>
      <font>
        <sz val="10"/>
        <color rgb="FFBBBBBB"/>
        <name val="Arial"/>
        <charset val="1"/>
      </font>
    </dxf>
    <dxf>
      <font>
        <b/>
        <sz val="10"/>
        <color rgb="FF375623"/>
        <name val="Arial"/>
        <charset val="1"/>
      </font>
      <fill>
        <patternFill>
          <bgColor rgb="FFC6E0B4"/>
        </patternFill>
      </fill>
    </dxf>
    <dxf>
      <font>
        <b/>
        <sz val="10"/>
        <color rgb="FF9C0006"/>
        <name val="Arial"/>
        <charset val="1"/>
      </font>
      <fill>
        <patternFill>
          <bgColor rgb="FFF4CCCC"/>
        </patternFill>
      </fill>
    </dxf>
    <dxf>
      <font>
        <b/>
        <sz val="10"/>
        <color rgb="FF7F6000"/>
        <name val="Arial"/>
        <charset val="1"/>
      </font>
      <fill>
        <patternFill>
          <bgColor rgb="FFFFE699"/>
        </patternFill>
      </fill>
    </dxf>
    <dxf>
      <font>
        <b/>
        <sz val="10"/>
        <color rgb="FF1F4E79"/>
        <name val="Arial"/>
        <charset val="1"/>
      </font>
      <fill>
        <patternFill>
          <bgColor rgb="FFDDEBF7"/>
        </patternFill>
      </fill>
    </dxf>
    <dxf>
      <font>
        <b/>
        <sz val="10"/>
        <color rgb="FF375623"/>
        <name val="Arial"/>
        <charset val="1"/>
      </font>
      <fill>
        <patternFill>
          <bgColor rgb="FFC6E0B4"/>
        </patternFill>
      </fill>
    </dxf>
    <dxf>
      <font>
        <b/>
        <sz val="10"/>
        <color rgb="FF7F6000"/>
        <name val="Arial"/>
        <charset val="1"/>
      </font>
      <fill>
        <patternFill>
          <bgColor rgb="FFFFE699"/>
        </patternFill>
      </fill>
    </dxf>
    <dxf>
      <font>
        <b/>
        <sz val="10"/>
        <color rgb="FF9C0006"/>
        <name val="Arial"/>
        <charset val="1"/>
      </font>
      <fill>
        <patternFill>
          <bgColor rgb="FFF4CCCC"/>
        </patternFill>
      </fill>
    </dxf>
    <dxf>
      <font>
        <b/>
        <sz val="10"/>
        <color rgb="FF9C0006"/>
        <name val="Arial"/>
        <charset val="1"/>
      </font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sz val="10"/>
        <color rgb="FF9E9E9E"/>
        <name val="Arial"/>
        <charset val="1"/>
      </font>
    </dxf>
    <dxf>
      <font>
        <b/>
        <sz val="10"/>
        <color rgb="FF2E7D32"/>
        <name val="Arial"/>
        <charset val="1"/>
      </font>
      <fill>
        <patternFill>
          <bgColor rgb="FFE2EF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9D9D9"/>
      <rgbColor rgb="FFFF00FF"/>
      <rgbColor rgb="FF00FFFF"/>
      <rgbColor rgb="FF9C0006"/>
      <rgbColor rgb="FF2E7D32"/>
      <rgbColor rgb="FF000080"/>
      <rgbColor rgb="FF7F6000"/>
      <rgbColor rgb="FF800080"/>
      <rgbColor rgb="FF3D5F57"/>
      <rgbColor rgb="FFBBBBBB"/>
      <rgbColor rgb="FF878787"/>
      <rgbColor rgb="FFA6A6A6"/>
      <rgbColor rgb="FF993366"/>
      <rgbColor rgb="FFFFF4CC"/>
      <rgbColor rgb="FFDDEBF7"/>
      <rgbColor rgb="FF660066"/>
      <rgbColor rgb="FF8A8A8A"/>
      <rgbColor rgb="FF0066CC"/>
      <rgbColor rgb="FFCFD8D4"/>
      <rgbColor rgb="FF000080"/>
      <rgbColor rgb="FFFF00FF"/>
      <rgbColor rgb="FFEFEFEF"/>
      <rgbColor rgb="FF00FFFF"/>
      <rgbColor rgb="FF800080"/>
      <rgbColor rgb="FF800000"/>
      <rgbColor rgb="FF008080"/>
      <rgbColor rgb="FF0000FF"/>
      <rgbColor rgb="FF00CCFF"/>
      <rgbColor rgb="FFE6EEEA"/>
      <rgbColor rgb="FFE2EFDA"/>
      <rgbColor rgb="FFFFE699"/>
      <rgbColor rgb="FFC6E0B4"/>
      <rgbColor rgb="FFF8D7D3"/>
      <rgbColor rgb="FFB0B0B0"/>
      <rgbColor rgb="FFF4CCCC"/>
      <rgbColor rgb="FF3366FF"/>
      <rgbColor rgb="FFFAFAFA"/>
      <rgbColor rgb="FFF3F3F3"/>
      <rgbColor rgb="FFFCE4D6"/>
      <rgbColor rgb="FFF4F7F5"/>
      <rgbColor rgb="FFB5651D"/>
      <rgbColor rgb="FF6B6B6B"/>
      <rgbColor rgb="FF9E9E9E"/>
      <rgbColor rgb="FF1F4E79"/>
      <rgbColor rgb="FF4A7A6D"/>
      <rgbColor rgb="FF375623"/>
      <rgbColor rgb="FF222222"/>
      <rgbColor rgb="FFC0392B"/>
      <rgbColor rgb="FF993366"/>
      <rgbColor rgb="FF1F4E9E"/>
      <rgbColor rgb="FF1F3D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Erfüllungsgrad je Anbieter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A7A6D"/>
            </a:solidFill>
            <a:ln w="9360">
              <a:solidFill>
                <a:srgbClr val="4A7A6D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C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'7 Auswertung'!$B$11:$B$14</c:f>
              <c:strCache>
                <c:ptCount val="4"/>
                <c:pt idx="0">
                  <c:v>Anbieter 1</c:v>
                </c:pt>
                <c:pt idx="1">
                  <c:v>Anbieter 2</c:v>
                </c:pt>
                <c:pt idx="2">
                  <c:v>Anbieter 3</c:v>
                </c:pt>
                <c:pt idx="3">
                  <c:v>Anbieter 4</c:v>
                </c:pt>
              </c:strCache>
            </c:strRef>
          </c:cat>
          <c:val>
            <c:numRef>
              <c:f>'7 Auswertung'!$E$11:$E$14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4B-BA43-A3BC-3AD0000BC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936101"/>
        <c:axId val="15082136"/>
      </c:barChart>
      <c:catAx>
        <c:axId val="269361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CH"/>
          </a:p>
        </c:txPr>
        <c:crossAx val="15082136"/>
        <c:crosses val="autoZero"/>
        <c:auto val="1"/>
        <c:lblAlgn val="ctr"/>
        <c:lblOffset val="100"/>
        <c:noMultiLvlLbl val="0"/>
      </c:catAx>
      <c:valAx>
        <c:axId val="15082136"/>
        <c:scaling>
          <c:orientation val="minMax"/>
          <c:max val="1"/>
          <c:min val="0"/>
        </c:scaling>
        <c:delete val="0"/>
        <c:axPos val="t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CH"/>
          </a:p>
        </c:txPr>
        <c:crossAx val="2693610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17</xdr:row>
      <xdr:rowOff>0</xdr:rowOff>
    </xdr:from>
    <xdr:to>
      <xdr:col>15</xdr:col>
      <xdr:colOff>183600</xdr:colOff>
      <xdr:row>28</xdr:row>
      <xdr:rowOff>164880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D36"/>
    <pageSetUpPr fitToPage="1"/>
  </sheetPr>
  <dimension ref="B2:E31"/>
  <sheetViews>
    <sheetView showGridLines="0" tabSelected="1" zoomScaleNormal="100" workbookViewId="0"/>
  </sheetViews>
  <sheetFormatPr baseColWidth="10" defaultColWidth="8.6640625" defaultRowHeight="15" x14ac:dyDescent="0.2"/>
  <cols>
    <col min="1" max="1" width="2" customWidth="1"/>
    <col min="2" max="2" width="18" customWidth="1"/>
    <col min="3" max="3" width="34" customWidth="1"/>
    <col min="4" max="4" width="50" customWidth="1"/>
    <col min="5" max="5" width="46" customWidth="1"/>
  </cols>
  <sheetData>
    <row r="2" spans="2:5" ht="36" customHeight="1" x14ac:dyDescent="0.3">
      <c r="B2" s="15" t="s">
        <v>0</v>
      </c>
    </row>
    <row r="3" spans="2:5" ht="16" x14ac:dyDescent="0.2">
      <c r="B3" s="16" t="s">
        <v>1</v>
      </c>
    </row>
    <row r="4" spans="2:5" x14ac:dyDescent="0.2">
      <c r="B4" s="17" t="s">
        <v>2</v>
      </c>
    </row>
    <row r="6" spans="2:5" ht="21.75" customHeight="1" x14ac:dyDescent="0.2">
      <c r="B6" s="14" t="s">
        <v>3</v>
      </c>
      <c r="C6" s="14"/>
      <c r="D6" s="14"/>
      <c r="E6" s="14"/>
    </row>
    <row r="7" spans="2:5" ht="19.5" customHeight="1" x14ac:dyDescent="0.2">
      <c r="B7" s="18" t="s">
        <v>4</v>
      </c>
      <c r="C7" s="18" t="s">
        <v>5</v>
      </c>
      <c r="D7" s="18" t="s">
        <v>6</v>
      </c>
      <c r="E7" s="18" t="s">
        <v>7</v>
      </c>
    </row>
    <row r="8" spans="2:5" ht="57.75" customHeight="1" x14ac:dyDescent="0.2">
      <c r="B8" s="19" t="s">
        <v>8</v>
      </c>
      <c r="C8" s="20" t="s">
        <v>9</v>
      </c>
      <c r="D8" s="20" t="s">
        <v>10</v>
      </c>
      <c r="E8" s="21" t="s">
        <v>11</v>
      </c>
    </row>
    <row r="9" spans="2:5" ht="57.75" customHeight="1" x14ac:dyDescent="0.2">
      <c r="B9" s="22" t="s">
        <v>12</v>
      </c>
      <c r="C9" s="20" t="s">
        <v>13</v>
      </c>
      <c r="D9" s="20" t="s">
        <v>14</v>
      </c>
      <c r="E9" s="21" t="s">
        <v>15</v>
      </c>
    </row>
    <row r="10" spans="2:5" ht="57.75" customHeight="1" x14ac:dyDescent="0.2">
      <c r="B10" s="23" t="s">
        <v>16</v>
      </c>
      <c r="C10" s="20" t="s">
        <v>17</v>
      </c>
      <c r="D10" s="20" t="s">
        <v>18</v>
      </c>
      <c r="E10" s="21" t="s">
        <v>19</v>
      </c>
    </row>
    <row r="12" spans="2:5" ht="21.75" customHeight="1" x14ac:dyDescent="0.2">
      <c r="B12" s="14" t="s">
        <v>20</v>
      </c>
      <c r="C12" s="14"/>
      <c r="D12" s="14"/>
      <c r="E12" s="14"/>
    </row>
    <row r="13" spans="2:5" ht="19.5" customHeight="1" x14ac:dyDescent="0.2">
      <c r="B13" s="24" t="s">
        <v>21</v>
      </c>
      <c r="C13" s="13" t="s">
        <v>22</v>
      </c>
      <c r="D13" s="13"/>
      <c r="E13" s="13"/>
    </row>
    <row r="14" spans="2:5" ht="19.5" customHeight="1" x14ac:dyDescent="0.2">
      <c r="B14" s="25" t="s">
        <v>23</v>
      </c>
      <c r="C14" s="13" t="s">
        <v>24</v>
      </c>
      <c r="D14" s="13"/>
      <c r="E14" s="13"/>
    </row>
    <row r="15" spans="2:5" ht="19.5" customHeight="1" x14ac:dyDescent="0.2">
      <c r="B15" s="26" t="s">
        <v>25</v>
      </c>
      <c r="C15" s="13" t="s">
        <v>26</v>
      </c>
      <c r="D15" s="13"/>
      <c r="E15" s="13"/>
    </row>
    <row r="17" spans="2:5" ht="21.75" customHeight="1" x14ac:dyDescent="0.2">
      <c r="B17" s="14" t="s">
        <v>27</v>
      </c>
      <c r="C17" s="14"/>
      <c r="D17" s="14"/>
      <c r="E17" s="14"/>
    </row>
    <row r="18" spans="2:5" ht="19.5" customHeight="1" x14ac:dyDescent="0.2">
      <c r="B18" s="21" t="s">
        <v>28</v>
      </c>
      <c r="C18" s="12" t="s">
        <v>29</v>
      </c>
      <c r="D18" s="12"/>
      <c r="E18" s="12"/>
    </row>
    <row r="19" spans="2:5" ht="19.5" customHeight="1" x14ac:dyDescent="0.2">
      <c r="B19" s="21" t="s">
        <v>30</v>
      </c>
      <c r="C19" s="12" t="s">
        <v>31</v>
      </c>
      <c r="D19" s="12"/>
      <c r="E19" s="12"/>
    </row>
    <row r="20" spans="2:5" ht="19.5" customHeight="1" x14ac:dyDescent="0.2">
      <c r="B20" s="21" t="s">
        <v>32</v>
      </c>
      <c r="C20" s="12" t="s">
        <v>33</v>
      </c>
      <c r="D20" s="12"/>
      <c r="E20" s="12"/>
    </row>
    <row r="21" spans="2:5" ht="19.5" customHeight="1" x14ac:dyDescent="0.2">
      <c r="B21" s="21" t="s">
        <v>34</v>
      </c>
      <c r="C21" s="12" t="s">
        <v>35</v>
      </c>
      <c r="D21" s="12"/>
      <c r="E21" s="12"/>
    </row>
    <row r="23" spans="2:5" ht="21.75" customHeight="1" x14ac:dyDescent="0.2">
      <c r="B23" s="14" t="s">
        <v>36</v>
      </c>
      <c r="C23" s="14"/>
      <c r="D23" s="14"/>
      <c r="E23" s="14"/>
    </row>
    <row r="24" spans="2:5" ht="30" customHeight="1" x14ac:dyDescent="0.2">
      <c r="B24" s="27" t="s">
        <v>37</v>
      </c>
      <c r="C24" s="12" t="s">
        <v>38</v>
      </c>
      <c r="D24" s="12"/>
      <c r="E24" s="12"/>
    </row>
    <row r="25" spans="2:5" ht="30" customHeight="1" x14ac:dyDescent="0.2">
      <c r="B25" s="27" t="s">
        <v>39</v>
      </c>
      <c r="C25" s="12" t="s">
        <v>40</v>
      </c>
      <c r="D25" s="12"/>
      <c r="E25" s="12"/>
    </row>
    <row r="26" spans="2:5" ht="30" customHeight="1" x14ac:dyDescent="0.2">
      <c r="B26" s="27" t="s">
        <v>41</v>
      </c>
      <c r="C26" s="12" t="s">
        <v>42</v>
      </c>
      <c r="D26" s="12"/>
      <c r="E26" s="12"/>
    </row>
    <row r="28" spans="2:5" ht="25.5" customHeight="1" x14ac:dyDescent="0.2">
      <c r="B28" s="11" t="s">
        <v>43</v>
      </c>
      <c r="C28" s="11"/>
      <c r="D28" s="11"/>
      <c r="E28" s="11"/>
    </row>
    <row r="30" spans="2:5" x14ac:dyDescent="0.2">
      <c r="B30" s="29" t="s">
        <v>44</v>
      </c>
    </row>
    <row r="31" spans="2:5" x14ac:dyDescent="0.2">
      <c r="B31" s="30" t="s">
        <v>45</v>
      </c>
    </row>
  </sheetData>
  <mergeCells count="15">
    <mergeCell ref="B23:E23"/>
    <mergeCell ref="C24:E24"/>
    <mergeCell ref="C25:E25"/>
    <mergeCell ref="C26:E26"/>
    <mergeCell ref="B28:E28"/>
    <mergeCell ref="B17:E17"/>
    <mergeCell ref="C18:E18"/>
    <mergeCell ref="C19:E19"/>
    <mergeCell ref="C20:E20"/>
    <mergeCell ref="C21:E21"/>
    <mergeCell ref="B6:E6"/>
    <mergeCell ref="B12:E12"/>
    <mergeCell ref="C13:E13"/>
    <mergeCell ref="C14:E14"/>
    <mergeCell ref="C15:E15"/>
  </mergeCells>
  <pageMargins left="0.4" right="0.4" top="0.5" bottom="0.5" header="0.511811023622047" footer="0.5"/>
  <pageSetup paperSize="9" fitToHeight="0" orientation="portrait" horizontalDpi="300" verticalDpi="300"/>
  <headerFooter>
    <oddFooter>&amp;L&amp;8 Dr. Koch · System-Check Software-Evaluation&amp;R&amp;8 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A7A6D"/>
    <pageSetUpPr fitToPage="1"/>
  </sheetPr>
  <dimension ref="B1:E5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6640625" defaultRowHeight="15" x14ac:dyDescent="0.2"/>
  <cols>
    <col min="1" max="1" width="2" customWidth="1"/>
    <col min="2" max="2" width="9" customWidth="1"/>
    <col min="3" max="3" width="58" customWidth="1"/>
    <col min="4" max="4" width="34" customWidth="1"/>
    <col min="5" max="5" width="58" customWidth="1"/>
  </cols>
  <sheetData>
    <row r="1" spans="2:5" ht="30" customHeight="1" x14ac:dyDescent="0.25">
      <c r="B1" s="31" t="s">
        <v>46</v>
      </c>
    </row>
    <row r="2" spans="2:5" ht="27.75" customHeight="1" x14ac:dyDescent="0.2">
      <c r="B2" s="10" t="s">
        <v>47</v>
      </c>
      <c r="C2" s="10"/>
      <c r="D2" s="10"/>
      <c r="E2" s="10"/>
    </row>
    <row r="4" spans="2:5" ht="21.75" customHeight="1" x14ac:dyDescent="0.2">
      <c r="B4" s="14" t="s">
        <v>48</v>
      </c>
      <c r="C4" s="14"/>
      <c r="D4" s="14"/>
      <c r="E4" s="14"/>
    </row>
    <row r="5" spans="2:5" ht="19.5" customHeight="1" x14ac:dyDescent="0.2">
      <c r="B5" s="18" t="s">
        <v>49</v>
      </c>
      <c r="C5" s="18" t="s">
        <v>50</v>
      </c>
      <c r="D5" s="18" t="s">
        <v>51</v>
      </c>
      <c r="E5" s="18" t="s">
        <v>52</v>
      </c>
    </row>
    <row r="6" spans="2:5" ht="16.5" customHeight="1" x14ac:dyDescent="0.2">
      <c r="B6" s="32" t="s">
        <v>53</v>
      </c>
      <c r="C6" s="33" t="s">
        <v>54</v>
      </c>
      <c r="D6" s="34"/>
      <c r="E6" s="35" t="s">
        <v>55</v>
      </c>
    </row>
    <row r="7" spans="2:5" ht="16.5" customHeight="1" x14ac:dyDescent="0.2">
      <c r="B7" s="32" t="s">
        <v>56</v>
      </c>
      <c r="C7" s="33" t="s">
        <v>57</v>
      </c>
      <c r="D7" s="34"/>
      <c r="E7" s="35" t="s">
        <v>58</v>
      </c>
    </row>
    <row r="8" spans="2:5" ht="16.5" customHeight="1" x14ac:dyDescent="0.2">
      <c r="B8" s="32" t="s">
        <v>59</v>
      </c>
      <c r="C8" s="33" t="s">
        <v>60</v>
      </c>
      <c r="D8" s="34"/>
      <c r="E8" s="35"/>
    </row>
    <row r="9" spans="2:5" ht="16.5" customHeight="1" x14ac:dyDescent="0.2">
      <c r="B9" s="32" t="s">
        <v>61</v>
      </c>
      <c r="C9" s="33" t="s">
        <v>62</v>
      </c>
      <c r="D9" s="34"/>
      <c r="E9" s="35" t="s">
        <v>63</v>
      </c>
    </row>
    <row r="10" spans="2:5" ht="16.5" customHeight="1" x14ac:dyDescent="0.2">
      <c r="B10" s="32" t="s">
        <v>64</v>
      </c>
      <c r="C10" s="33" t="s">
        <v>65</v>
      </c>
      <c r="D10" s="34"/>
      <c r="E10" s="35"/>
    </row>
    <row r="11" spans="2:5" ht="16.5" customHeight="1" x14ac:dyDescent="0.2">
      <c r="B11" s="32" t="s">
        <v>66</v>
      </c>
      <c r="C11" s="33" t="s">
        <v>67</v>
      </c>
      <c r="D11" s="34"/>
      <c r="E11" s="35"/>
    </row>
    <row r="12" spans="2:5" ht="30" customHeight="1" x14ac:dyDescent="0.2">
      <c r="B12" s="32" t="s">
        <v>68</v>
      </c>
      <c r="C12" s="33" t="s">
        <v>69</v>
      </c>
      <c r="D12" s="34">
        <v>48</v>
      </c>
      <c r="E12" s="35" t="s">
        <v>70</v>
      </c>
    </row>
    <row r="13" spans="2:5" ht="30" customHeight="1" x14ac:dyDescent="0.2">
      <c r="B13" s="32" t="s">
        <v>71</v>
      </c>
      <c r="C13" s="33" t="s">
        <v>72</v>
      </c>
      <c r="D13" s="36"/>
      <c r="E13" s="35" t="s">
        <v>73</v>
      </c>
    </row>
    <row r="14" spans="2:5" ht="9.75" customHeight="1" x14ac:dyDescent="0.2"/>
    <row r="15" spans="2:5" ht="21.75" customHeight="1" x14ac:dyDescent="0.2">
      <c r="B15" s="14" t="s">
        <v>74</v>
      </c>
      <c r="C15" s="14"/>
      <c r="D15" s="14"/>
      <c r="E15" s="14"/>
    </row>
    <row r="16" spans="2:5" ht="19.5" customHeight="1" x14ac:dyDescent="0.2">
      <c r="B16" s="18" t="s">
        <v>49</v>
      </c>
      <c r="C16" s="18" t="s">
        <v>50</v>
      </c>
      <c r="D16" s="18" t="s">
        <v>51</v>
      </c>
      <c r="E16" s="18" t="s">
        <v>52</v>
      </c>
    </row>
    <row r="17" spans="2:5" ht="16.5" customHeight="1" x14ac:dyDescent="0.2">
      <c r="B17" s="32" t="s">
        <v>75</v>
      </c>
      <c r="C17" s="33" t="s">
        <v>76</v>
      </c>
      <c r="D17" s="34"/>
      <c r="E17" s="35" t="s">
        <v>77</v>
      </c>
    </row>
    <row r="18" spans="2:5" ht="16.5" customHeight="1" x14ac:dyDescent="0.2">
      <c r="B18" s="32" t="s">
        <v>78</v>
      </c>
      <c r="C18" s="33" t="s">
        <v>79</v>
      </c>
      <c r="D18" s="34"/>
      <c r="E18" s="35" t="s">
        <v>80</v>
      </c>
    </row>
    <row r="19" spans="2:5" ht="16.5" customHeight="1" x14ac:dyDescent="0.2">
      <c r="B19" s="32" t="s">
        <v>81</v>
      </c>
      <c r="C19" s="33" t="s">
        <v>82</v>
      </c>
      <c r="D19" s="34"/>
      <c r="E19" s="35" t="s">
        <v>83</v>
      </c>
    </row>
    <row r="20" spans="2:5" ht="16.5" customHeight="1" x14ac:dyDescent="0.2">
      <c r="B20" s="32" t="s">
        <v>84</v>
      </c>
      <c r="C20" s="33" t="s">
        <v>85</v>
      </c>
      <c r="D20" s="34"/>
      <c r="E20" s="35" t="s">
        <v>86</v>
      </c>
    </row>
    <row r="21" spans="2:5" ht="16.5" customHeight="1" x14ac:dyDescent="0.2">
      <c r="B21" s="32" t="s">
        <v>87</v>
      </c>
      <c r="C21" s="33" t="s">
        <v>88</v>
      </c>
      <c r="D21" s="34"/>
      <c r="E21" s="35" t="s">
        <v>89</v>
      </c>
    </row>
    <row r="22" spans="2:5" ht="16.5" customHeight="1" x14ac:dyDescent="0.2">
      <c r="B22" s="32" t="s">
        <v>90</v>
      </c>
      <c r="C22" s="33" t="s">
        <v>91</v>
      </c>
      <c r="D22" s="34"/>
      <c r="E22" s="35" t="s">
        <v>92</v>
      </c>
    </row>
    <row r="23" spans="2:5" ht="30" customHeight="1" x14ac:dyDescent="0.2">
      <c r="B23" s="32" t="s">
        <v>93</v>
      </c>
      <c r="C23" s="33" t="s">
        <v>94</v>
      </c>
      <c r="D23" s="34"/>
      <c r="E23" s="35" t="s">
        <v>95</v>
      </c>
    </row>
    <row r="24" spans="2:5" ht="9.75" customHeight="1" x14ac:dyDescent="0.2"/>
    <row r="25" spans="2:5" ht="21.75" customHeight="1" x14ac:dyDescent="0.2">
      <c r="B25" s="14" t="s">
        <v>96</v>
      </c>
      <c r="C25" s="14"/>
      <c r="D25" s="14"/>
      <c r="E25" s="14"/>
    </row>
    <row r="26" spans="2:5" ht="19.5" customHeight="1" x14ac:dyDescent="0.2">
      <c r="B26" s="18" t="s">
        <v>49</v>
      </c>
      <c r="C26" s="18" t="s">
        <v>50</v>
      </c>
      <c r="D26" s="18" t="s">
        <v>51</v>
      </c>
      <c r="E26" s="18" t="s">
        <v>52</v>
      </c>
    </row>
    <row r="27" spans="2:5" ht="30" customHeight="1" x14ac:dyDescent="0.2">
      <c r="B27" s="32" t="s">
        <v>97</v>
      </c>
      <c r="C27" s="33" t="s">
        <v>98</v>
      </c>
      <c r="D27" s="37"/>
      <c r="E27" s="35" t="s">
        <v>99</v>
      </c>
    </row>
    <row r="28" spans="2:5" ht="16.5" customHeight="1" x14ac:dyDescent="0.2">
      <c r="B28" s="32" t="s">
        <v>100</v>
      </c>
      <c r="C28" s="33" t="s">
        <v>101</v>
      </c>
      <c r="D28" s="34"/>
      <c r="E28" s="35"/>
    </row>
    <row r="29" spans="2:5" ht="16.5" customHeight="1" x14ac:dyDescent="0.2">
      <c r="B29" s="32" t="s">
        <v>102</v>
      </c>
      <c r="C29" s="33" t="s">
        <v>103</v>
      </c>
      <c r="D29" s="36"/>
      <c r="E29" s="35" t="s">
        <v>104</v>
      </c>
    </row>
    <row r="30" spans="2:5" ht="16.5" customHeight="1" x14ac:dyDescent="0.2">
      <c r="B30" s="32" t="s">
        <v>105</v>
      </c>
      <c r="C30" s="33" t="s">
        <v>106</v>
      </c>
      <c r="D30" s="36"/>
      <c r="E30" s="35" t="s">
        <v>104</v>
      </c>
    </row>
    <row r="31" spans="2:5" ht="16.5" customHeight="1" x14ac:dyDescent="0.2">
      <c r="B31" s="32" t="s">
        <v>107</v>
      </c>
      <c r="C31" s="33" t="s">
        <v>108</v>
      </c>
      <c r="D31" s="38"/>
      <c r="E31" s="35" t="s">
        <v>109</v>
      </c>
    </row>
    <row r="32" spans="2:5" ht="16.5" customHeight="1" x14ac:dyDescent="0.2">
      <c r="B32" s="32" t="s">
        <v>110</v>
      </c>
      <c r="C32" s="33" t="s">
        <v>111</v>
      </c>
      <c r="D32" s="34"/>
      <c r="E32" s="35" t="s">
        <v>112</v>
      </c>
    </row>
    <row r="33" spans="2:5" ht="30" customHeight="1" x14ac:dyDescent="0.2">
      <c r="B33" s="32" t="s">
        <v>113</v>
      </c>
      <c r="C33" s="33" t="s">
        <v>114</v>
      </c>
      <c r="D33" s="36">
        <v>40</v>
      </c>
      <c r="E33" s="35" t="s">
        <v>115</v>
      </c>
    </row>
    <row r="34" spans="2:5" ht="9.75" customHeight="1" x14ac:dyDescent="0.2"/>
    <row r="35" spans="2:5" ht="21.75" customHeight="1" x14ac:dyDescent="0.2">
      <c r="B35" s="14" t="s">
        <v>116</v>
      </c>
      <c r="C35" s="14"/>
      <c r="D35" s="14"/>
      <c r="E35" s="14"/>
    </row>
    <row r="36" spans="2:5" x14ac:dyDescent="0.2">
      <c r="B36" s="39"/>
      <c r="C36" s="40" t="s">
        <v>117</v>
      </c>
      <c r="D36" s="41" t="str">
        <f>IF(Fokus="","Gesamtlösung (mehrere Bereiche)",Fokus)</f>
        <v>Gesamtlösung (mehrere Bereiche)</v>
      </c>
      <c r="E36" s="35" t="s">
        <v>118</v>
      </c>
    </row>
    <row r="37" spans="2:5" ht="19.5" customHeight="1" x14ac:dyDescent="0.2">
      <c r="B37" s="18" t="s">
        <v>119</v>
      </c>
      <c r="C37" s="18" t="s">
        <v>120</v>
      </c>
      <c r="D37" s="18" t="s">
        <v>121</v>
      </c>
      <c r="E37" s="18" t="s">
        <v>122</v>
      </c>
    </row>
    <row r="38" spans="2:5" x14ac:dyDescent="0.2">
      <c r="B38" s="42" t="s">
        <v>123</v>
      </c>
      <c r="C38" s="33" t="s">
        <v>124</v>
      </c>
      <c r="D38" s="43" t="str">
        <f>"Ja"</f>
        <v>Ja</v>
      </c>
      <c r="E38" s="35" t="s">
        <v>125</v>
      </c>
    </row>
    <row r="39" spans="2:5" x14ac:dyDescent="0.2">
      <c r="B39" s="42" t="s">
        <v>126</v>
      </c>
      <c r="C39" s="33" t="s">
        <v>127</v>
      </c>
      <c r="D39" s="43" t="str">
        <f>IF(Standorte="","Ja",IF(Standorte&gt;1,"Ja","Nein"))</f>
        <v>Ja</v>
      </c>
      <c r="E39" s="35" t="s">
        <v>128</v>
      </c>
    </row>
    <row r="40" spans="2:5" x14ac:dyDescent="0.2">
      <c r="B40" s="42" t="s">
        <v>129</v>
      </c>
      <c r="C40" s="33" t="s">
        <v>130</v>
      </c>
      <c r="D40" s="43" t="str">
        <f>IF(OR(FokusEff="Kassensystem",FokusEff="Gesamtlösung (mehrere Bereiche)"),"Ja","Nein")</f>
        <v>Ja</v>
      </c>
      <c r="E40" s="35" t="s">
        <v>131</v>
      </c>
    </row>
    <row r="41" spans="2:5" x14ac:dyDescent="0.2">
      <c r="B41" s="42" t="s">
        <v>132</v>
      </c>
      <c r="C41" s="33" t="s">
        <v>133</v>
      </c>
      <c r="D41" s="43" t="str">
        <f>IF(OR(FokusEff="Tischreservation",AND(FokusEff="Gesamtlösung (mehrere Bereiche)",Q_RES&lt;&gt;"Nein")),"Ja","Nein")</f>
        <v>Ja</v>
      </c>
      <c r="E41" s="35" t="s">
        <v>134</v>
      </c>
    </row>
    <row r="42" spans="2:5" x14ac:dyDescent="0.2">
      <c r="B42" s="42" t="s">
        <v>135</v>
      </c>
      <c r="C42" s="33" t="s">
        <v>136</v>
      </c>
      <c r="D42" s="43" t="str">
        <f>IF(OR(FokusEff="Personalplanung &amp; Zeiterfassung",AND(FokusEff="Gesamtlösung (mehrere Bereiche)",Q_PERS&lt;&gt;"Nein")),"Ja","Nein")</f>
        <v>Ja</v>
      </c>
      <c r="E42" s="35" t="s">
        <v>137</v>
      </c>
    </row>
    <row r="43" spans="2:5" x14ac:dyDescent="0.2">
      <c r="B43" s="42" t="s">
        <v>138</v>
      </c>
      <c r="C43" s="33" t="s">
        <v>139</v>
      </c>
      <c r="D43" s="43" t="str">
        <f>IF(OR(FokusEff="Warenwirtschaft &amp; Kalkulation",AND(FokusEff="Gesamtlösung (mehrere Bereiche)",Q_WAWI&lt;&gt;"Nein")),"Ja","Nein")</f>
        <v>Ja</v>
      </c>
      <c r="E43" s="35" t="s">
        <v>140</v>
      </c>
    </row>
    <row r="44" spans="2:5" x14ac:dyDescent="0.2">
      <c r="B44" s="42" t="s">
        <v>141</v>
      </c>
      <c r="C44" s="33" t="s">
        <v>142</v>
      </c>
      <c r="D44" s="43" t="str">
        <f>IF(OR(FokusEff="Hotelsoftware (PMS)",AND(FokusEff="Gesamtlösung (mehrere Bereiche)",Q_PMS&lt;&gt;"Nein")),"Ja","Nein")</f>
        <v>Ja</v>
      </c>
      <c r="E44" s="35" t="s">
        <v>143</v>
      </c>
    </row>
    <row r="45" spans="2:5" x14ac:dyDescent="0.2">
      <c r="B45" s="42" t="s">
        <v>144</v>
      </c>
      <c r="C45" s="33" t="s">
        <v>145</v>
      </c>
      <c r="D45" s="43" t="str">
        <f>IF(OR(FokusEff="Event- &amp; Bankettsoftware",AND(FokusEff="Gesamtlösung (mehrere Bereiche)",Q_EVENT&lt;&gt;"Nein")),"Ja","Nein")</f>
        <v>Ja</v>
      </c>
      <c r="E45" s="35" t="s">
        <v>146</v>
      </c>
    </row>
    <row r="46" spans="2:5" x14ac:dyDescent="0.2">
      <c r="B46" s="42" t="s">
        <v>147</v>
      </c>
      <c r="C46" s="33" t="s">
        <v>148</v>
      </c>
      <c r="D46" s="43" t="str">
        <f>IF(AND(Q_ONLINE&lt;&gt;"Nein",OR(FokusEff="Kassensystem",FokusEff="Gesamtlösung (mehrere Bereiche)")),"Ja","Nein")</f>
        <v>Ja</v>
      </c>
      <c r="E46" s="35" t="s">
        <v>149</v>
      </c>
    </row>
    <row r="47" spans="2:5" x14ac:dyDescent="0.2">
      <c r="B47" s="42" t="s">
        <v>150</v>
      </c>
      <c r="C47" s="33" t="s">
        <v>151</v>
      </c>
      <c r="D47" s="43" t="str">
        <f>IF(AND(Q_MKT&lt;&gt;"Nein",OR(FokusEff="Kassensystem",FokusEff="Tischreservation",FokusEff="Gesamtlösung (mehrere Bereiche)")),"Ja","Nein")</f>
        <v>Ja</v>
      </c>
      <c r="E47" s="35" t="s">
        <v>152</v>
      </c>
    </row>
    <row r="48" spans="2:5" x14ac:dyDescent="0.2">
      <c r="B48" s="42" t="s">
        <v>153</v>
      </c>
      <c r="C48" s="33" t="s">
        <v>154</v>
      </c>
      <c r="D48" s="43" t="str">
        <f>IF(OR(FokusEff="Tischreservation",FokusEff="Personalplanung &amp; Zeiterfassung"),"Nein","Ja")</f>
        <v>Ja</v>
      </c>
      <c r="E48" s="35" t="s">
        <v>155</v>
      </c>
    </row>
    <row r="49" spans="2:5" x14ac:dyDescent="0.2">
      <c r="B49" s="42" t="s">
        <v>156</v>
      </c>
      <c r="C49" s="33" t="s">
        <v>157</v>
      </c>
      <c r="D49" s="43" t="str">
        <f>IF(OR(FokusEff="Personalplanung &amp; Zeiterfassung",FokusEff="Warenwirtschaft &amp; Kalkulation"),"Nein","Ja")</f>
        <v>Ja</v>
      </c>
      <c r="E49" s="35" t="s">
        <v>158</v>
      </c>
    </row>
    <row r="50" spans="2:5" x14ac:dyDescent="0.2">
      <c r="B50" s="42" t="s">
        <v>159</v>
      </c>
      <c r="C50" s="33" t="s">
        <v>160</v>
      </c>
      <c r="D50" s="43" t="str">
        <f>IF(OR(FokusEff="Kassensystem",FokusEff="Gesamtlösung (mehrere Bereiche)"),"Nein","Ja")</f>
        <v>Nein</v>
      </c>
      <c r="E50" s="35" t="s">
        <v>161</v>
      </c>
    </row>
    <row r="51" spans="2:5" x14ac:dyDescent="0.2">
      <c r="B51" s="42" t="s">
        <v>162</v>
      </c>
      <c r="C51" s="33" t="s">
        <v>163</v>
      </c>
      <c r="D51" s="43" t="str">
        <f>IF(AND(Q_RES&lt;&gt;"Nein",FokusEff&lt;&gt;"Tischreservation",FokusEff&lt;&gt;"Gesamtlösung (mehrere Bereiche)"),"Ja","Nein")</f>
        <v>Nein</v>
      </c>
      <c r="E51" s="35" t="s">
        <v>164</v>
      </c>
    </row>
    <row r="52" spans="2:5" x14ac:dyDescent="0.2">
      <c r="B52" s="42" t="s">
        <v>165</v>
      </c>
      <c r="C52" s="33" t="s">
        <v>166</v>
      </c>
      <c r="D52" s="43" t="str">
        <f>IF(AND(Q_PERS&lt;&gt;"Nein",FokusEff&lt;&gt;"Personalplanung &amp; Zeiterfassung",FokusEff&lt;&gt;"Gesamtlösung (mehrere Bereiche)"),"Ja","Nein")</f>
        <v>Nein</v>
      </c>
      <c r="E52" s="35" t="s">
        <v>167</v>
      </c>
    </row>
    <row r="53" spans="2:5" x14ac:dyDescent="0.2">
      <c r="B53" s="42" t="s">
        <v>168</v>
      </c>
      <c r="C53" s="33" t="s">
        <v>169</v>
      </c>
      <c r="D53" s="43" t="str">
        <f>IF(AND(Q_WAWI&lt;&gt;"Nein",FokusEff&lt;&gt;"Warenwirtschaft &amp; Kalkulation",FokusEff&lt;&gt;"Gesamtlösung (mehrere Bereiche)"),"Ja","Nein")</f>
        <v>Nein</v>
      </c>
      <c r="E53" s="35" t="s">
        <v>170</v>
      </c>
    </row>
    <row r="54" spans="2:5" x14ac:dyDescent="0.2">
      <c r="B54" s="42" t="s">
        <v>171</v>
      </c>
      <c r="C54" s="33" t="s">
        <v>172</v>
      </c>
      <c r="D54" s="43" t="str">
        <f>IF(AND(Q_PMS&lt;&gt;"Nein",FokusEff&lt;&gt;"Hotelsoftware (PMS)",FokusEff&lt;&gt;"Gesamtlösung (mehrere Bereiche)"),"Ja","Nein")</f>
        <v>Nein</v>
      </c>
      <c r="E54" s="35" t="s">
        <v>173</v>
      </c>
    </row>
    <row r="55" spans="2:5" x14ac:dyDescent="0.2">
      <c r="B55" s="42" t="s">
        <v>174</v>
      </c>
      <c r="C55" s="33" t="s">
        <v>175</v>
      </c>
      <c r="D55" s="43" t="str">
        <f>IF(AND(Q_EVENT&lt;&gt;"Nein",FokusEff&lt;&gt;"Event- &amp; Bankettsoftware",FokusEff&lt;&gt;"Gesamtlösung (mehrere Bereiche)"),"Ja","Nein")</f>
        <v>Nein</v>
      </c>
      <c r="E55" s="35" t="s">
        <v>176</v>
      </c>
    </row>
  </sheetData>
  <mergeCells count="5">
    <mergeCell ref="B2:E2"/>
    <mergeCell ref="B4:E4"/>
    <mergeCell ref="B15:E15"/>
    <mergeCell ref="B25:E25"/>
    <mergeCell ref="B35:E35"/>
  </mergeCells>
  <conditionalFormatting sqref="D38:D55">
    <cfRule type="expression" dxfId="49" priority="2">
      <formula>D38="Ja"</formula>
    </cfRule>
    <cfRule type="expression" dxfId="48" priority="3">
      <formula>D38="Nein"</formula>
    </cfRule>
  </conditionalFormatting>
  <dataValidations count="3">
    <dataValidation type="whole" allowBlank="1" error="Bitte eine Zahl zwischen 0 und 100000 eingeben." sqref="D8:D12" xr:uid="{00000000-0002-0000-0100-000004000000}">
      <formula1>0</formula1>
      <formula2>100000</formula2>
    </dataValidation>
    <dataValidation type="decimal" allowBlank="1" error="Bitte eine Zahl zwischen 0 und 1000000000 eingeben." sqref="D13 D29:D30 D33" xr:uid="{00000000-0002-0000-0100-000005000000}">
      <formula1>0</formula1>
      <formula2>1000000000</formula2>
    </dataValidation>
    <dataValidation type="date" operator="greaterThan" allowBlank="1" error="Bitte ein Datum eingeben (TT.MM.JJJJ)." sqref="D31" xr:uid="{00000000-0002-0000-0100-000006000000}">
      <formula1>36526</formula1>
      <formula2>0</formula2>
    </dataValidation>
  </dataValidations>
  <pageMargins left="0.4" right="0.4" top="0.5" bottom="0.5" header="0.511811023622047" footer="0.5"/>
  <pageSetup paperSize="9" fitToHeight="0" orientation="portrait" horizontalDpi="300" verticalDpi="300"/>
  <headerFooter>
    <oddFooter>&amp;L&amp;8 Dr. Koch · System-Check Software-Evaluation&amp;R&amp;8 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errorTitle="Ungültiger Wert" error="Bitte einen Wert aus der Liste wählen." xr:uid="{00000000-0002-0000-0100-000000000000}">
          <x14:formula1>
            <xm:f>Listen!$C$2:$C$10</xm:f>
          </x14:formula1>
          <x14:formula2>
            <xm:f>0</xm:f>
          </x14:formula2>
          <xm:sqref>D7</xm:sqref>
        </x14:dataValidation>
        <x14:dataValidation type="list" allowBlank="1" errorTitle="Ungültiger Wert" error="Bitte einen Wert aus der Liste wählen." xr:uid="{00000000-0002-0000-0100-000001000000}">
          <x14:formula1>
            <xm:f>Listen!$B$2:$B$8</xm:f>
          </x14:formula1>
          <x14:formula2>
            <xm:f>0</xm:f>
          </x14:formula2>
          <xm:sqref>D27</xm:sqref>
        </x14:dataValidation>
        <x14:dataValidation type="list" allowBlank="1" errorTitle="Ungültiger Wert" error="Bitte einen Wert aus der Liste wählen." xr:uid="{00000000-0002-0000-0100-000002000000}">
          <x14:formula1>
            <xm:f>Listen!$D$2:$D$7</xm:f>
          </x14:formula1>
          <x14:formula2>
            <xm:f>0</xm:f>
          </x14:formula2>
          <xm:sqref>D28</xm:sqref>
        </x14:dataValidation>
        <x14:dataValidation type="list" allowBlank="1" errorTitle="Ungültiger Wert" error="Bitte einen Wert aus der Liste wählen." xr:uid="{00000000-0002-0000-0100-000003000000}">
          <x14:formula1>
            <xm:f>Listen!$A$2:$A$3</xm:f>
          </x14:formula1>
          <x14:formula2>
            <xm:f>0</xm:f>
          </x14:formula2>
          <xm:sqref>D17:D23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A7A6D"/>
    <pageSetUpPr fitToPage="1"/>
  </sheetPr>
  <dimension ref="B1:M37"/>
  <sheetViews>
    <sheetView showGridLines="0" zoomScaleNormal="100" workbookViewId="0">
      <pane xSplit="3" ySplit="14" topLeftCell="D15" activePane="bottomRight" state="frozen"/>
      <selection pane="topRight" activeCell="D1" sqref="D1"/>
      <selection pane="bottomLeft" activeCell="A15" sqref="A15"/>
      <selection pane="bottomRight"/>
    </sheetView>
  </sheetViews>
  <sheetFormatPr baseColWidth="10" defaultColWidth="8.6640625" defaultRowHeight="15" x14ac:dyDescent="0.2"/>
  <cols>
    <col min="1" max="1" width="2" customWidth="1"/>
    <col min="2" max="2" width="8" customWidth="1"/>
    <col min="3" max="3" width="34" customWidth="1"/>
    <col min="4" max="4" width="15" customWidth="1"/>
    <col min="5" max="5" width="24" customWidth="1"/>
    <col min="6" max="7" width="13" customWidth="1"/>
    <col min="8" max="8" width="15" customWidth="1"/>
    <col min="9" max="9" width="14" customWidth="1"/>
    <col min="10" max="10" width="13" customWidth="1"/>
    <col min="11" max="11" width="38" customWidth="1"/>
    <col min="12" max="12" width="17" customWidth="1"/>
    <col min="13" max="13" width="4" hidden="1" customWidth="1"/>
  </cols>
  <sheetData>
    <row r="1" spans="2:13" ht="30" customHeight="1" x14ac:dyDescent="0.25">
      <c r="B1" s="31" t="s">
        <v>177</v>
      </c>
    </row>
    <row r="2" spans="2:13" x14ac:dyDescent="0.2">
      <c r="B2" s="17" t="s">
        <v>178</v>
      </c>
    </row>
    <row r="4" spans="2:13" x14ac:dyDescent="0.2">
      <c r="C4" s="44" t="s">
        <v>179</v>
      </c>
      <c r="D4" s="45"/>
      <c r="F4" s="9" t="s">
        <v>180</v>
      </c>
      <c r="G4" s="9"/>
      <c r="H4" s="9"/>
      <c r="I4" s="9"/>
      <c r="J4" s="9"/>
      <c r="K4" s="9"/>
    </row>
    <row r="5" spans="2:13" x14ac:dyDescent="0.2">
      <c r="C5" s="39" t="s">
        <v>181</v>
      </c>
      <c r="D5" s="46">
        <f>COUNTIF($D$15:$D$37,"Software")</f>
        <v>0</v>
      </c>
      <c r="F5" s="47" t="s">
        <v>182</v>
      </c>
      <c r="G5" s="8" t="s">
        <v>183</v>
      </c>
      <c r="H5" s="8"/>
      <c r="I5" s="8"/>
      <c r="J5" s="8"/>
      <c r="K5" s="8"/>
    </row>
    <row r="6" spans="2:13" x14ac:dyDescent="0.2">
      <c r="C6" s="39" t="s">
        <v>184</v>
      </c>
      <c r="D6" s="46">
        <f>COUNTIF($D$15:$D$37,"Papier")+COUNTIF($D$15:$D$37,"Excel")</f>
        <v>0</v>
      </c>
      <c r="F6" s="48" t="s">
        <v>185</v>
      </c>
      <c r="G6" s="8" t="s">
        <v>186</v>
      </c>
      <c r="H6" s="8"/>
      <c r="I6" s="8"/>
      <c r="J6" s="8"/>
      <c r="K6" s="8"/>
    </row>
    <row r="7" spans="2:13" x14ac:dyDescent="0.2">
      <c r="C7" s="39" t="s">
        <v>187</v>
      </c>
      <c r="D7" s="46">
        <f>COUNTIF($D$15:$D$37,"Fehlt")</f>
        <v>0</v>
      </c>
      <c r="F7" s="49" t="s">
        <v>188</v>
      </c>
      <c r="G7" s="8" t="s">
        <v>189</v>
      </c>
      <c r="H7" s="8"/>
      <c r="I7" s="8"/>
      <c r="J7" s="8"/>
      <c r="K7" s="8"/>
    </row>
    <row r="8" spans="2:13" x14ac:dyDescent="0.2">
      <c r="C8" s="39" t="s">
        <v>190</v>
      </c>
      <c r="D8" s="50">
        <f>SUM($F$15:$F$37)</f>
        <v>0</v>
      </c>
      <c r="F8" s="51" t="s">
        <v>191</v>
      </c>
      <c r="G8" s="8" t="s">
        <v>192</v>
      </c>
      <c r="H8" s="8"/>
      <c r="I8" s="8"/>
      <c r="J8" s="8"/>
      <c r="K8" s="8"/>
    </row>
    <row r="9" spans="2:13" x14ac:dyDescent="0.2">
      <c r="C9" s="39" t="s">
        <v>193</v>
      </c>
      <c r="D9" s="50">
        <f>D8*12</f>
        <v>0</v>
      </c>
    </row>
    <row r="10" spans="2:13" x14ac:dyDescent="0.2">
      <c r="C10" s="39" t="s">
        <v>194</v>
      </c>
      <c r="D10" s="46">
        <f ca="1">COUNTIF($L$15:$L$37,"Hoch")</f>
        <v>0</v>
      </c>
      <c r="F10" s="30" t="s">
        <v>195</v>
      </c>
    </row>
    <row r="11" spans="2:13" x14ac:dyDescent="0.2">
      <c r="C11" s="39" t="s">
        <v>196</v>
      </c>
      <c r="D11" s="52" t="str">
        <f ca="1">IF(COUNT($M$15:$M$37)=0,"keiner erfasst",MIN($M$15:$M$37))</f>
        <v>keiner erfasst</v>
      </c>
      <c r="F11" s="30" t="s">
        <v>197</v>
      </c>
    </row>
    <row r="13" spans="2:13" ht="31.5" customHeight="1" x14ac:dyDescent="0.2">
      <c r="B13" s="18" t="s">
        <v>49</v>
      </c>
      <c r="C13" s="18" t="s">
        <v>120</v>
      </c>
      <c r="D13" s="18" t="s">
        <v>198</v>
      </c>
      <c r="E13" s="18" t="s">
        <v>199</v>
      </c>
      <c r="F13" s="18" t="s">
        <v>200</v>
      </c>
      <c r="G13" s="18" t="s">
        <v>201</v>
      </c>
      <c r="H13" s="18" t="s">
        <v>202</v>
      </c>
      <c r="I13" s="18" t="s">
        <v>203</v>
      </c>
      <c r="J13" s="18" t="s">
        <v>204</v>
      </c>
      <c r="K13" s="18" t="s">
        <v>205</v>
      </c>
      <c r="L13" s="18" t="s">
        <v>206</v>
      </c>
    </row>
    <row r="14" spans="2:13" ht="30" customHeight="1" x14ac:dyDescent="0.2">
      <c r="B14" s="53" t="s">
        <v>25</v>
      </c>
      <c r="C14" s="53" t="s">
        <v>207</v>
      </c>
      <c r="D14" s="53" t="s">
        <v>208</v>
      </c>
      <c r="E14" s="53" t="s">
        <v>209</v>
      </c>
      <c r="F14" s="54">
        <v>189</v>
      </c>
      <c r="G14" s="55">
        <v>46477</v>
      </c>
      <c r="H14" s="53">
        <v>3</v>
      </c>
      <c r="I14" s="55">
        <v>46387</v>
      </c>
      <c r="J14" s="53">
        <v>2</v>
      </c>
      <c r="K14" s="53" t="s">
        <v>210</v>
      </c>
      <c r="L14" s="53" t="s">
        <v>182</v>
      </c>
    </row>
    <row r="15" spans="2:13" ht="16.5" customHeight="1" x14ac:dyDescent="0.2">
      <c r="B15" s="56">
        <v>1</v>
      </c>
      <c r="C15" s="33" t="s">
        <v>207</v>
      </c>
      <c r="D15" s="34"/>
      <c r="E15" s="34"/>
      <c r="F15" s="36"/>
      <c r="G15" s="38"/>
      <c r="H15" s="57"/>
      <c r="I15" s="58" t="str">
        <f t="shared" ref="I15:I37" si="0">IF(AND(ISNUMBER(G15),ISNUMBER(H15)),EDATE(G15,-H15),"")</f>
        <v/>
      </c>
      <c r="J15" s="57"/>
      <c r="K15" s="34"/>
      <c r="L15" s="43" t="str">
        <f t="shared" ref="L15:L37" ca="1" si="1">IF(OR(D15="",D15="Nicht nötig"),"",IF(D15="Fehlt","Lücke",IF(OR(AND(ISNUMBER(J15),J15&lt;=2),IF(ISNUMBER(I15),AND(I15&gt;=TODAY(),I15-TODAY()&lt;=180),FALSE())),"Hoch",IF(OR(D15="Papier",D15="Excel",J15=3),"Mittel","Tief"))))</f>
        <v/>
      </c>
      <c r="M15" s="59" t="str">
        <f t="shared" ref="M15:M37" ca="1" si="2">IF(AND(ISNUMBER(I15),I15&gt;=TODAY()),I15,"")</f>
        <v/>
      </c>
    </row>
    <row r="16" spans="2:13" ht="16.5" customHeight="1" x14ac:dyDescent="0.2">
      <c r="B16" s="56">
        <v>2</v>
      </c>
      <c r="C16" s="33" t="s">
        <v>211</v>
      </c>
      <c r="D16" s="34"/>
      <c r="E16" s="34"/>
      <c r="F16" s="36"/>
      <c r="G16" s="38"/>
      <c r="H16" s="57"/>
      <c r="I16" s="58" t="str">
        <f t="shared" si="0"/>
        <v/>
      </c>
      <c r="J16" s="57"/>
      <c r="K16" s="34"/>
      <c r="L16" s="43" t="str">
        <f t="shared" ca="1" si="1"/>
        <v/>
      </c>
      <c r="M16" s="59" t="str">
        <f t="shared" ca="1" si="2"/>
        <v/>
      </c>
    </row>
    <row r="17" spans="2:13" ht="16.5" customHeight="1" x14ac:dyDescent="0.2">
      <c r="B17" s="56">
        <v>3</v>
      </c>
      <c r="C17" s="33" t="s">
        <v>133</v>
      </c>
      <c r="D17" s="34"/>
      <c r="E17" s="34"/>
      <c r="F17" s="36"/>
      <c r="G17" s="38"/>
      <c r="H17" s="57"/>
      <c r="I17" s="58" t="str">
        <f t="shared" si="0"/>
        <v/>
      </c>
      <c r="J17" s="57"/>
      <c r="K17" s="34"/>
      <c r="L17" s="43" t="str">
        <f t="shared" ca="1" si="1"/>
        <v/>
      </c>
      <c r="M17" s="59" t="str">
        <f t="shared" ca="1" si="2"/>
        <v/>
      </c>
    </row>
    <row r="18" spans="2:13" ht="30" customHeight="1" x14ac:dyDescent="0.2">
      <c r="B18" s="56">
        <v>4</v>
      </c>
      <c r="C18" s="33" t="s">
        <v>212</v>
      </c>
      <c r="D18" s="34"/>
      <c r="E18" s="34"/>
      <c r="F18" s="36"/>
      <c r="G18" s="38"/>
      <c r="H18" s="57"/>
      <c r="I18" s="58" t="str">
        <f t="shared" si="0"/>
        <v/>
      </c>
      <c r="J18" s="57"/>
      <c r="K18" s="34"/>
      <c r="L18" s="43" t="str">
        <f t="shared" ca="1" si="1"/>
        <v/>
      </c>
      <c r="M18" s="59" t="str">
        <f t="shared" ca="1" si="2"/>
        <v/>
      </c>
    </row>
    <row r="19" spans="2:13" ht="16.5" customHeight="1" x14ac:dyDescent="0.2">
      <c r="B19" s="56">
        <v>5</v>
      </c>
      <c r="C19" s="33" t="s">
        <v>213</v>
      </c>
      <c r="D19" s="34"/>
      <c r="E19" s="34"/>
      <c r="F19" s="36"/>
      <c r="G19" s="38"/>
      <c r="H19" s="57"/>
      <c r="I19" s="58" t="str">
        <f t="shared" si="0"/>
        <v/>
      </c>
      <c r="J19" s="57"/>
      <c r="K19" s="34"/>
      <c r="L19" s="43" t="str">
        <f t="shared" ca="1" si="1"/>
        <v/>
      </c>
      <c r="M19" s="59" t="str">
        <f t="shared" ca="1" si="2"/>
        <v/>
      </c>
    </row>
    <row r="20" spans="2:13" ht="16.5" customHeight="1" x14ac:dyDescent="0.2">
      <c r="B20" s="56">
        <v>6</v>
      </c>
      <c r="C20" s="33" t="s">
        <v>214</v>
      </c>
      <c r="D20" s="34"/>
      <c r="E20" s="34"/>
      <c r="F20" s="36"/>
      <c r="G20" s="38"/>
      <c r="H20" s="57"/>
      <c r="I20" s="58" t="str">
        <f t="shared" si="0"/>
        <v/>
      </c>
      <c r="J20" s="57"/>
      <c r="K20" s="34"/>
      <c r="L20" s="43" t="str">
        <f t="shared" ca="1" si="1"/>
        <v/>
      </c>
      <c r="M20" s="59" t="str">
        <f t="shared" ca="1" si="2"/>
        <v/>
      </c>
    </row>
    <row r="21" spans="2:13" ht="16.5" customHeight="1" x14ac:dyDescent="0.2">
      <c r="B21" s="56">
        <v>7</v>
      </c>
      <c r="C21" s="33" t="s">
        <v>215</v>
      </c>
      <c r="D21" s="34"/>
      <c r="E21" s="34"/>
      <c r="F21" s="36"/>
      <c r="G21" s="38"/>
      <c r="H21" s="57"/>
      <c r="I21" s="58" t="str">
        <f t="shared" si="0"/>
        <v/>
      </c>
      <c r="J21" s="57"/>
      <c r="K21" s="34"/>
      <c r="L21" s="43" t="str">
        <f t="shared" ca="1" si="1"/>
        <v/>
      </c>
      <c r="M21" s="59" t="str">
        <f t="shared" ca="1" si="2"/>
        <v/>
      </c>
    </row>
    <row r="22" spans="2:13" ht="16.5" customHeight="1" x14ac:dyDescent="0.2">
      <c r="B22" s="56">
        <v>8</v>
      </c>
      <c r="C22" s="33" t="s">
        <v>216</v>
      </c>
      <c r="D22" s="34"/>
      <c r="E22" s="34"/>
      <c r="F22" s="36"/>
      <c r="G22" s="38"/>
      <c r="H22" s="57"/>
      <c r="I22" s="58" t="str">
        <f t="shared" si="0"/>
        <v/>
      </c>
      <c r="J22" s="57"/>
      <c r="K22" s="34"/>
      <c r="L22" s="43" t="str">
        <f t="shared" ca="1" si="1"/>
        <v/>
      </c>
      <c r="M22" s="59" t="str">
        <f t="shared" ca="1" si="2"/>
        <v/>
      </c>
    </row>
    <row r="23" spans="2:13" ht="16.5" customHeight="1" x14ac:dyDescent="0.2">
      <c r="B23" s="56">
        <v>9</v>
      </c>
      <c r="C23" s="33" t="s">
        <v>217</v>
      </c>
      <c r="D23" s="34"/>
      <c r="E23" s="34"/>
      <c r="F23" s="36"/>
      <c r="G23" s="38"/>
      <c r="H23" s="57"/>
      <c r="I23" s="58" t="str">
        <f t="shared" si="0"/>
        <v/>
      </c>
      <c r="J23" s="57"/>
      <c r="K23" s="34"/>
      <c r="L23" s="43" t="str">
        <f t="shared" ca="1" si="1"/>
        <v/>
      </c>
      <c r="M23" s="59" t="str">
        <f t="shared" ca="1" si="2"/>
        <v/>
      </c>
    </row>
    <row r="24" spans="2:13" ht="16.5" customHeight="1" x14ac:dyDescent="0.2">
      <c r="B24" s="56">
        <v>10</v>
      </c>
      <c r="C24" s="33" t="s">
        <v>218</v>
      </c>
      <c r="D24" s="34"/>
      <c r="E24" s="34"/>
      <c r="F24" s="36"/>
      <c r="G24" s="38"/>
      <c r="H24" s="57"/>
      <c r="I24" s="58" t="str">
        <f t="shared" si="0"/>
        <v/>
      </c>
      <c r="J24" s="57"/>
      <c r="K24" s="34"/>
      <c r="L24" s="43" t="str">
        <f t="shared" ca="1" si="1"/>
        <v/>
      </c>
      <c r="M24" s="59" t="str">
        <f t="shared" ca="1" si="2"/>
        <v/>
      </c>
    </row>
    <row r="25" spans="2:13" ht="16.5" customHeight="1" x14ac:dyDescent="0.2">
      <c r="B25" s="56">
        <v>11</v>
      </c>
      <c r="C25" s="33" t="s">
        <v>219</v>
      </c>
      <c r="D25" s="34"/>
      <c r="E25" s="34"/>
      <c r="F25" s="36"/>
      <c r="G25" s="38"/>
      <c r="H25" s="57"/>
      <c r="I25" s="58" t="str">
        <f t="shared" si="0"/>
        <v/>
      </c>
      <c r="J25" s="57"/>
      <c r="K25" s="34"/>
      <c r="L25" s="43" t="str">
        <f t="shared" ca="1" si="1"/>
        <v/>
      </c>
      <c r="M25" s="59" t="str">
        <f t="shared" ca="1" si="2"/>
        <v/>
      </c>
    </row>
    <row r="26" spans="2:13" ht="16.5" customHeight="1" x14ac:dyDescent="0.2">
      <c r="B26" s="56">
        <v>12</v>
      </c>
      <c r="C26" s="33" t="s">
        <v>220</v>
      </c>
      <c r="D26" s="34"/>
      <c r="E26" s="34"/>
      <c r="F26" s="36"/>
      <c r="G26" s="38"/>
      <c r="H26" s="57"/>
      <c r="I26" s="58" t="str">
        <f t="shared" si="0"/>
        <v/>
      </c>
      <c r="J26" s="57"/>
      <c r="K26" s="34"/>
      <c r="L26" s="43" t="str">
        <f t="shared" ca="1" si="1"/>
        <v/>
      </c>
      <c r="M26" s="59" t="str">
        <f t="shared" ca="1" si="2"/>
        <v/>
      </c>
    </row>
    <row r="27" spans="2:13" ht="16.5" customHeight="1" x14ac:dyDescent="0.2">
      <c r="B27" s="56">
        <v>13</v>
      </c>
      <c r="C27" s="33" t="s">
        <v>221</v>
      </c>
      <c r="D27" s="34"/>
      <c r="E27" s="34"/>
      <c r="F27" s="36"/>
      <c r="G27" s="38"/>
      <c r="H27" s="57"/>
      <c r="I27" s="58" t="str">
        <f t="shared" si="0"/>
        <v/>
      </c>
      <c r="J27" s="57"/>
      <c r="K27" s="34"/>
      <c r="L27" s="43" t="str">
        <f t="shared" ca="1" si="1"/>
        <v/>
      </c>
      <c r="M27" s="59" t="str">
        <f t="shared" ca="1" si="2"/>
        <v/>
      </c>
    </row>
    <row r="28" spans="2:13" ht="16.5" customHeight="1" x14ac:dyDescent="0.2">
      <c r="B28" s="56">
        <v>14</v>
      </c>
      <c r="C28" s="33" t="s">
        <v>222</v>
      </c>
      <c r="D28" s="34"/>
      <c r="E28" s="34"/>
      <c r="F28" s="36"/>
      <c r="G28" s="38"/>
      <c r="H28" s="57"/>
      <c r="I28" s="58" t="str">
        <f t="shared" si="0"/>
        <v/>
      </c>
      <c r="J28" s="57"/>
      <c r="K28" s="34"/>
      <c r="L28" s="43" t="str">
        <f t="shared" ca="1" si="1"/>
        <v/>
      </c>
      <c r="M28" s="59" t="str">
        <f t="shared" ca="1" si="2"/>
        <v/>
      </c>
    </row>
    <row r="29" spans="2:13" ht="16.5" customHeight="1" x14ac:dyDescent="0.2">
      <c r="B29" s="56">
        <v>15</v>
      </c>
      <c r="C29" s="33" t="s">
        <v>223</v>
      </c>
      <c r="D29" s="34"/>
      <c r="E29" s="34"/>
      <c r="F29" s="36"/>
      <c r="G29" s="38"/>
      <c r="H29" s="57"/>
      <c r="I29" s="58" t="str">
        <f t="shared" si="0"/>
        <v/>
      </c>
      <c r="J29" s="57"/>
      <c r="K29" s="34"/>
      <c r="L29" s="43" t="str">
        <f t="shared" ca="1" si="1"/>
        <v/>
      </c>
      <c r="M29" s="59" t="str">
        <f t="shared" ca="1" si="2"/>
        <v/>
      </c>
    </row>
    <row r="30" spans="2:13" ht="16.5" customHeight="1" x14ac:dyDescent="0.2">
      <c r="B30" s="56">
        <v>16</v>
      </c>
      <c r="C30" s="33" t="s">
        <v>224</v>
      </c>
      <c r="D30" s="34"/>
      <c r="E30" s="34"/>
      <c r="F30" s="36"/>
      <c r="G30" s="38"/>
      <c r="H30" s="57"/>
      <c r="I30" s="58" t="str">
        <f t="shared" si="0"/>
        <v/>
      </c>
      <c r="J30" s="57"/>
      <c r="K30" s="34"/>
      <c r="L30" s="43" t="str">
        <f t="shared" ca="1" si="1"/>
        <v/>
      </c>
      <c r="M30" s="59" t="str">
        <f t="shared" ca="1" si="2"/>
        <v/>
      </c>
    </row>
    <row r="31" spans="2:13" ht="16.5" customHeight="1" x14ac:dyDescent="0.2">
      <c r="B31" s="56">
        <v>17</v>
      </c>
      <c r="C31" s="33" t="s">
        <v>225</v>
      </c>
      <c r="D31" s="34"/>
      <c r="E31" s="34"/>
      <c r="F31" s="36"/>
      <c r="G31" s="38"/>
      <c r="H31" s="57"/>
      <c r="I31" s="58" t="str">
        <f t="shared" si="0"/>
        <v/>
      </c>
      <c r="J31" s="57"/>
      <c r="K31" s="34"/>
      <c r="L31" s="43" t="str">
        <f t="shared" ca="1" si="1"/>
        <v/>
      </c>
      <c r="M31" s="59" t="str">
        <f t="shared" ca="1" si="2"/>
        <v/>
      </c>
    </row>
    <row r="32" spans="2:13" ht="16.5" customHeight="1" x14ac:dyDescent="0.2">
      <c r="B32" s="56">
        <v>18</v>
      </c>
      <c r="C32" s="33" t="s">
        <v>226</v>
      </c>
      <c r="D32" s="34"/>
      <c r="E32" s="34"/>
      <c r="F32" s="36"/>
      <c r="G32" s="38"/>
      <c r="H32" s="57"/>
      <c r="I32" s="58" t="str">
        <f t="shared" si="0"/>
        <v/>
      </c>
      <c r="J32" s="57"/>
      <c r="K32" s="34"/>
      <c r="L32" s="43" t="str">
        <f t="shared" ca="1" si="1"/>
        <v/>
      </c>
      <c r="M32" s="59" t="str">
        <f t="shared" ca="1" si="2"/>
        <v/>
      </c>
    </row>
    <row r="33" spans="2:13" ht="16.5" customHeight="1" x14ac:dyDescent="0.2">
      <c r="B33" s="56">
        <v>19</v>
      </c>
      <c r="C33" s="33" t="s">
        <v>227</v>
      </c>
      <c r="D33" s="34"/>
      <c r="E33" s="34"/>
      <c r="F33" s="36"/>
      <c r="G33" s="38"/>
      <c r="H33" s="57"/>
      <c r="I33" s="58" t="str">
        <f t="shared" si="0"/>
        <v/>
      </c>
      <c r="J33" s="57"/>
      <c r="K33" s="34"/>
      <c r="L33" s="43" t="str">
        <f t="shared" ca="1" si="1"/>
        <v/>
      </c>
      <c r="M33" s="59" t="str">
        <f t="shared" ca="1" si="2"/>
        <v/>
      </c>
    </row>
    <row r="34" spans="2:13" ht="16.5" customHeight="1" x14ac:dyDescent="0.2">
      <c r="B34" s="56">
        <v>20</v>
      </c>
      <c r="C34" s="33" t="s">
        <v>228</v>
      </c>
      <c r="D34" s="34"/>
      <c r="E34" s="34"/>
      <c r="F34" s="36"/>
      <c r="G34" s="38"/>
      <c r="H34" s="57"/>
      <c r="I34" s="58" t="str">
        <f t="shared" si="0"/>
        <v/>
      </c>
      <c r="J34" s="57"/>
      <c r="K34" s="34"/>
      <c r="L34" s="43" t="str">
        <f t="shared" ca="1" si="1"/>
        <v/>
      </c>
      <c r="M34" s="59" t="str">
        <f t="shared" ca="1" si="2"/>
        <v/>
      </c>
    </row>
    <row r="35" spans="2:13" ht="16.5" customHeight="1" x14ac:dyDescent="0.2">
      <c r="B35" s="56">
        <v>21</v>
      </c>
      <c r="C35" s="34"/>
      <c r="D35" s="34"/>
      <c r="E35" s="34"/>
      <c r="F35" s="36"/>
      <c r="G35" s="38"/>
      <c r="H35" s="57"/>
      <c r="I35" s="58" t="str">
        <f t="shared" si="0"/>
        <v/>
      </c>
      <c r="J35" s="57"/>
      <c r="K35" s="34"/>
      <c r="L35" s="43" t="str">
        <f t="shared" ca="1" si="1"/>
        <v/>
      </c>
      <c r="M35" s="59" t="str">
        <f t="shared" ca="1" si="2"/>
        <v/>
      </c>
    </row>
    <row r="36" spans="2:13" ht="16.5" customHeight="1" x14ac:dyDescent="0.2">
      <c r="B36" s="56">
        <v>22</v>
      </c>
      <c r="C36" s="34"/>
      <c r="D36" s="34"/>
      <c r="E36" s="34"/>
      <c r="F36" s="36"/>
      <c r="G36" s="38"/>
      <c r="H36" s="57"/>
      <c r="I36" s="58" t="str">
        <f t="shared" si="0"/>
        <v/>
      </c>
      <c r="J36" s="57"/>
      <c r="K36" s="34"/>
      <c r="L36" s="43" t="str">
        <f t="shared" ca="1" si="1"/>
        <v/>
      </c>
      <c r="M36" s="59" t="str">
        <f t="shared" ca="1" si="2"/>
        <v/>
      </c>
    </row>
    <row r="37" spans="2:13" ht="16.5" customHeight="1" x14ac:dyDescent="0.2">
      <c r="B37" s="56">
        <v>23</v>
      </c>
      <c r="C37" s="34"/>
      <c r="D37" s="34"/>
      <c r="E37" s="34"/>
      <c r="F37" s="36"/>
      <c r="G37" s="38"/>
      <c r="H37" s="57"/>
      <c r="I37" s="58" t="str">
        <f t="shared" si="0"/>
        <v/>
      </c>
      <c r="J37" s="57"/>
      <c r="K37" s="34"/>
      <c r="L37" s="43" t="str">
        <f t="shared" ca="1" si="1"/>
        <v/>
      </c>
      <c r="M37" s="59" t="str">
        <f t="shared" ca="1" si="2"/>
        <v/>
      </c>
    </row>
  </sheetData>
  <mergeCells count="5">
    <mergeCell ref="F4:K4"/>
    <mergeCell ref="G5:K5"/>
    <mergeCell ref="G6:K6"/>
    <mergeCell ref="G7:K7"/>
    <mergeCell ref="G8:K8"/>
  </mergeCells>
  <conditionalFormatting sqref="I15:I37">
    <cfRule type="expression" dxfId="47" priority="6">
      <formula>IF(ISNUMBER(I15),AND(I15&gt;=TODAY(),I15-TODAY()&lt;=180),0)</formula>
    </cfRule>
  </conditionalFormatting>
  <conditionalFormatting sqref="J15:J37">
    <cfRule type="expression" dxfId="46" priority="7">
      <formula>AND(ISNUMBER(J15),J15&lt;=2)</formula>
    </cfRule>
  </conditionalFormatting>
  <conditionalFormatting sqref="L15:L37">
    <cfRule type="expression" dxfId="45" priority="2">
      <formula>L15="Hoch"</formula>
    </cfRule>
    <cfRule type="expression" dxfId="44" priority="3">
      <formula>L15="Mittel"</formula>
    </cfRule>
    <cfRule type="expression" dxfId="43" priority="4">
      <formula>L15="Tief"</formula>
    </cfRule>
    <cfRule type="expression" dxfId="42" priority="5">
      <formula>L15="Lücke"</formula>
    </cfRule>
  </conditionalFormatting>
  <dataValidations count="3">
    <dataValidation type="date" operator="greaterThan" allowBlank="1" error="Bitte ein Datum eingeben (TT.MM.JJJJ)." sqref="G15:G37" xr:uid="{00000000-0002-0000-0200-000000000000}">
      <formula1>36526</formula1>
      <formula2>0</formula2>
    </dataValidation>
    <dataValidation type="whole" allowBlank="1" error="Bitte eine Zahl zwischen 0 und 60 eingeben." sqref="H15:H37" xr:uid="{00000000-0002-0000-0200-000003000000}">
      <formula1>0</formula1>
      <formula2>60</formula2>
    </dataValidation>
    <dataValidation type="decimal" allowBlank="1" error="Bitte eine Zahl zwischen 0 und 1000000 eingeben." sqref="F15:F37" xr:uid="{00000000-0002-0000-0200-000004000000}">
      <formula1>0</formula1>
      <formula2>1000000</formula2>
    </dataValidation>
  </dataValidations>
  <pageMargins left="0.4" right="0.4" top="0.5" bottom="0.5" header="0.511811023622047" footer="0.5"/>
  <pageSetup paperSize="9" fitToHeight="0" orientation="landscape" horizontalDpi="300" verticalDpi="300"/>
  <headerFooter>
    <oddFooter>&amp;L&amp;8 Dr. Koch · System-Check Software-Evaluation&amp;R&amp;8 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Ungültiger Wert" error="Bitte einen Wert aus der Liste wählen." xr:uid="{00000000-0002-0000-0200-000001000000}">
          <x14:formula1>
            <xm:f>Listen!$E$2:$E$6</xm:f>
          </x14:formula1>
          <x14:formula2>
            <xm:f>0</xm:f>
          </x14:formula2>
          <xm:sqref>D15:D37</xm:sqref>
        </x14:dataValidation>
        <x14:dataValidation type="list" allowBlank="1" errorTitle="Ungültiger Wert" error="Bitte einen Wert aus der Liste wählen." xr:uid="{00000000-0002-0000-0200-000002000000}">
          <x14:formula1>
            <xm:f>Listen!$H$2:$H$6</xm:f>
          </x14:formula1>
          <x14:formula2>
            <xm:f>0</xm:f>
          </x14:formula2>
          <xm:sqref>J15:J37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7A6D"/>
    <pageSetUpPr fitToPage="1"/>
  </sheetPr>
  <dimension ref="B1:L30"/>
  <sheetViews>
    <sheetView showGridLines="0" zoomScaleNormal="10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/>
    </sheetView>
  </sheetViews>
  <sheetFormatPr baseColWidth="10" defaultColWidth="8.6640625" defaultRowHeight="15" x14ac:dyDescent="0.2"/>
  <cols>
    <col min="1" max="1" width="2" customWidth="1"/>
    <col min="2" max="2" width="8" customWidth="1"/>
    <col min="3" max="3" width="34" customWidth="1"/>
    <col min="4" max="4" width="20" customWidth="1"/>
    <col min="5" max="5" width="22" customWidth="1"/>
    <col min="6" max="6" width="30" customWidth="1"/>
    <col min="7" max="7" width="14" customWidth="1"/>
    <col min="8" max="9" width="12" customWidth="1"/>
    <col min="10" max="11" width="13" customWidth="1"/>
    <col min="12" max="12" width="30" customWidth="1"/>
  </cols>
  <sheetData>
    <row r="1" spans="2:12" ht="30" customHeight="1" x14ac:dyDescent="0.25">
      <c r="B1" s="31" t="s">
        <v>229</v>
      </c>
    </row>
    <row r="2" spans="2:12" x14ac:dyDescent="0.2">
      <c r="B2" s="17" t="s">
        <v>230</v>
      </c>
    </row>
    <row r="4" spans="2:12" x14ac:dyDescent="0.2">
      <c r="C4" s="44" t="s">
        <v>179</v>
      </c>
      <c r="D4" s="45"/>
      <c r="F4" s="9" t="s">
        <v>231</v>
      </c>
      <c r="G4" s="9"/>
      <c r="H4" s="9"/>
      <c r="I4" s="9"/>
      <c r="J4" s="9"/>
      <c r="K4" s="9"/>
      <c r="L4" s="9"/>
    </row>
    <row r="5" spans="2:12" ht="15" customHeight="1" x14ac:dyDescent="0.2">
      <c r="C5" s="39" t="s">
        <v>232</v>
      </c>
      <c r="D5" s="46">
        <f>COUNTIF($G$13:$G$30,"Manuell")</f>
        <v>0</v>
      </c>
      <c r="F5" s="7" t="s">
        <v>233</v>
      </c>
      <c r="G5" s="7"/>
      <c r="H5" s="7"/>
      <c r="I5" s="7"/>
      <c r="J5" s="7"/>
      <c r="K5" s="7"/>
      <c r="L5" s="7"/>
    </row>
    <row r="6" spans="2:12" x14ac:dyDescent="0.2">
      <c r="C6" s="39" t="s">
        <v>234</v>
      </c>
      <c r="D6" s="46">
        <f>COUNTIF($G$13:$G$30,"Fehlt")</f>
        <v>0</v>
      </c>
      <c r="F6" s="7"/>
      <c r="G6" s="7"/>
      <c r="H6" s="7"/>
      <c r="I6" s="7"/>
      <c r="J6" s="7"/>
      <c r="K6" s="7"/>
      <c r="L6" s="7"/>
    </row>
    <row r="7" spans="2:12" x14ac:dyDescent="0.2">
      <c r="C7" s="39" t="s">
        <v>235</v>
      </c>
      <c r="D7" s="50">
        <f>SUM($I$13:$I$30)</f>
        <v>0</v>
      </c>
      <c r="F7" s="7"/>
      <c r="G7" s="7"/>
      <c r="H7" s="7"/>
      <c r="I7" s="7"/>
      <c r="J7" s="7"/>
      <c r="K7" s="7"/>
      <c r="L7" s="7"/>
    </row>
    <row r="8" spans="2:12" ht="15" customHeight="1" x14ac:dyDescent="0.2">
      <c r="C8" s="39" t="s">
        <v>236</v>
      </c>
      <c r="D8" s="50">
        <f>SUM($J$13:$J$30)</f>
        <v>0</v>
      </c>
      <c r="F8" s="11" t="s">
        <v>237</v>
      </c>
      <c r="G8" s="11"/>
      <c r="H8" s="11"/>
      <c r="I8" s="11"/>
      <c r="J8" s="11"/>
      <c r="K8" s="11"/>
      <c r="L8" s="11"/>
    </row>
    <row r="9" spans="2:12" x14ac:dyDescent="0.2">
      <c r="C9" s="30" t="s">
        <v>238</v>
      </c>
      <c r="D9" s="61" t="str">
        <f>IF(Stundenansatz="","fehlt",Stundenansatz&amp;" · "&amp;IF(Betriebswochen="","fehlt",Betriebswochen))</f>
        <v>40 · 48</v>
      </c>
      <c r="F9" s="11"/>
      <c r="G9" s="11"/>
      <c r="H9" s="11"/>
      <c r="I9" s="11"/>
      <c r="J9" s="11"/>
      <c r="K9" s="11"/>
      <c r="L9" s="11"/>
    </row>
    <row r="11" spans="2:12" ht="31.5" customHeight="1" x14ac:dyDescent="0.2">
      <c r="B11" s="18" t="s">
        <v>49</v>
      </c>
      <c r="C11" s="18" t="s">
        <v>239</v>
      </c>
      <c r="D11" s="18" t="s">
        <v>240</v>
      </c>
      <c r="E11" s="18" t="s">
        <v>241</v>
      </c>
      <c r="F11" s="18" t="s">
        <v>242</v>
      </c>
      <c r="G11" s="18" t="s">
        <v>243</v>
      </c>
      <c r="H11" s="18" t="s">
        <v>244</v>
      </c>
      <c r="I11" s="18" t="s">
        <v>245</v>
      </c>
      <c r="J11" s="18" t="s">
        <v>236</v>
      </c>
      <c r="K11" s="18" t="s">
        <v>246</v>
      </c>
      <c r="L11" s="18" t="s">
        <v>247</v>
      </c>
    </row>
    <row r="12" spans="2:12" x14ac:dyDescent="0.2">
      <c r="B12" s="53" t="s">
        <v>25</v>
      </c>
      <c r="C12" s="53" t="s">
        <v>248</v>
      </c>
      <c r="D12" s="53" t="s">
        <v>249</v>
      </c>
      <c r="E12" s="53" t="s">
        <v>250</v>
      </c>
      <c r="F12" s="53" t="s">
        <v>251</v>
      </c>
      <c r="G12" s="53" t="s">
        <v>252</v>
      </c>
      <c r="H12" s="53">
        <v>45</v>
      </c>
      <c r="I12" s="53">
        <v>36</v>
      </c>
      <c r="J12" s="54">
        <v>1440</v>
      </c>
      <c r="K12" s="53" t="s">
        <v>185</v>
      </c>
      <c r="L12" s="53" t="s">
        <v>253</v>
      </c>
    </row>
    <row r="13" spans="2:12" ht="16.5" customHeight="1" x14ac:dyDescent="0.2">
      <c r="B13" s="56">
        <v>1</v>
      </c>
      <c r="C13" s="33" t="s">
        <v>248</v>
      </c>
      <c r="D13" s="33" t="s">
        <v>249</v>
      </c>
      <c r="E13" s="33" t="s">
        <v>254</v>
      </c>
      <c r="F13" s="33" t="s">
        <v>255</v>
      </c>
      <c r="G13" s="34"/>
      <c r="H13" s="57"/>
      <c r="I13" s="62">
        <f t="shared" ref="I13:I30" si="0">IF(AND(G13="Manuell",ISNUMBER(H13)),H13*N(Betriebswochen)/60,0)</f>
        <v>0</v>
      </c>
      <c r="J13" s="62">
        <f t="shared" ref="J13:J30" si="1">I13*N(Stundenansatz)</f>
        <v>0</v>
      </c>
      <c r="K13" s="63"/>
      <c r="L13" s="34"/>
    </row>
    <row r="14" spans="2:12" ht="16.5" customHeight="1" x14ac:dyDescent="0.2">
      <c r="B14" s="56">
        <v>2</v>
      </c>
      <c r="C14" s="33" t="s">
        <v>256</v>
      </c>
      <c r="D14" s="33" t="s">
        <v>249</v>
      </c>
      <c r="E14" s="33" t="s">
        <v>257</v>
      </c>
      <c r="F14" s="33" t="s">
        <v>258</v>
      </c>
      <c r="G14" s="34"/>
      <c r="H14" s="57"/>
      <c r="I14" s="62">
        <f t="shared" si="0"/>
        <v>0</v>
      </c>
      <c r="J14" s="62">
        <f t="shared" si="1"/>
        <v>0</v>
      </c>
      <c r="K14" s="63"/>
      <c r="L14" s="34"/>
    </row>
    <row r="15" spans="2:12" ht="16.5" customHeight="1" x14ac:dyDescent="0.2">
      <c r="B15" s="56">
        <v>3</v>
      </c>
      <c r="C15" s="33" t="s">
        <v>259</v>
      </c>
      <c r="D15" s="33" t="s">
        <v>133</v>
      </c>
      <c r="E15" s="33" t="s">
        <v>249</v>
      </c>
      <c r="F15" s="33" t="s">
        <v>260</v>
      </c>
      <c r="G15" s="34"/>
      <c r="H15" s="57"/>
      <c r="I15" s="62">
        <f t="shared" si="0"/>
        <v>0</v>
      </c>
      <c r="J15" s="62">
        <f t="shared" si="1"/>
        <v>0</v>
      </c>
      <c r="K15" s="63"/>
      <c r="L15" s="34"/>
    </row>
    <row r="16" spans="2:12" ht="30" customHeight="1" x14ac:dyDescent="0.2">
      <c r="B16" s="56">
        <v>4</v>
      </c>
      <c r="C16" s="33" t="s">
        <v>261</v>
      </c>
      <c r="D16" s="33" t="s">
        <v>262</v>
      </c>
      <c r="E16" s="33" t="s">
        <v>263</v>
      </c>
      <c r="F16" s="33" t="s">
        <v>264</v>
      </c>
      <c r="G16" s="34"/>
      <c r="H16" s="57"/>
      <c r="I16" s="62">
        <f t="shared" si="0"/>
        <v>0</v>
      </c>
      <c r="J16" s="62">
        <f t="shared" si="1"/>
        <v>0</v>
      </c>
      <c r="K16" s="63"/>
      <c r="L16" s="34"/>
    </row>
    <row r="17" spans="2:12" ht="16.5" customHeight="1" x14ac:dyDescent="0.2">
      <c r="B17" s="56">
        <v>5</v>
      </c>
      <c r="C17" s="33" t="s">
        <v>265</v>
      </c>
      <c r="D17" s="33" t="s">
        <v>249</v>
      </c>
      <c r="E17" s="33" t="s">
        <v>266</v>
      </c>
      <c r="F17" s="33" t="s">
        <v>267</v>
      </c>
      <c r="G17" s="34"/>
      <c r="H17" s="57"/>
      <c r="I17" s="62">
        <f t="shared" si="0"/>
        <v>0</v>
      </c>
      <c r="J17" s="62">
        <f t="shared" si="1"/>
        <v>0</v>
      </c>
      <c r="K17" s="63"/>
      <c r="L17" s="34"/>
    </row>
    <row r="18" spans="2:12" ht="30" customHeight="1" x14ac:dyDescent="0.2">
      <c r="B18" s="56">
        <v>6</v>
      </c>
      <c r="C18" s="33" t="s">
        <v>268</v>
      </c>
      <c r="D18" s="33" t="s">
        <v>269</v>
      </c>
      <c r="E18" s="33" t="s">
        <v>270</v>
      </c>
      <c r="F18" s="33" t="s">
        <v>271</v>
      </c>
      <c r="G18" s="34"/>
      <c r="H18" s="57"/>
      <c r="I18" s="62">
        <f t="shared" si="0"/>
        <v>0</v>
      </c>
      <c r="J18" s="62">
        <f t="shared" si="1"/>
        <v>0</v>
      </c>
      <c r="K18" s="63"/>
      <c r="L18" s="34"/>
    </row>
    <row r="19" spans="2:12" ht="16.5" customHeight="1" x14ac:dyDescent="0.2">
      <c r="B19" s="56">
        <v>7</v>
      </c>
      <c r="C19" s="33" t="s">
        <v>272</v>
      </c>
      <c r="D19" s="33" t="s">
        <v>217</v>
      </c>
      <c r="E19" s="33" t="s">
        <v>273</v>
      </c>
      <c r="F19" s="33" t="s">
        <v>274</v>
      </c>
      <c r="G19" s="34"/>
      <c r="H19" s="57"/>
      <c r="I19" s="62">
        <f t="shared" si="0"/>
        <v>0</v>
      </c>
      <c r="J19" s="62">
        <f t="shared" si="1"/>
        <v>0</v>
      </c>
      <c r="K19" s="63"/>
      <c r="L19" s="34"/>
    </row>
    <row r="20" spans="2:12" ht="16.5" customHeight="1" x14ac:dyDescent="0.2">
      <c r="B20" s="56">
        <v>8</v>
      </c>
      <c r="C20" s="33" t="s">
        <v>275</v>
      </c>
      <c r="D20" s="33" t="s">
        <v>273</v>
      </c>
      <c r="E20" s="33" t="s">
        <v>218</v>
      </c>
      <c r="F20" s="33" t="s">
        <v>276</v>
      </c>
      <c r="G20" s="34"/>
      <c r="H20" s="57"/>
      <c r="I20" s="62">
        <f t="shared" si="0"/>
        <v>0</v>
      </c>
      <c r="J20" s="62">
        <f t="shared" si="1"/>
        <v>0</v>
      </c>
      <c r="K20" s="63"/>
      <c r="L20" s="34"/>
    </row>
    <row r="21" spans="2:12" ht="16.5" customHeight="1" x14ac:dyDescent="0.2">
      <c r="B21" s="56">
        <v>9</v>
      </c>
      <c r="C21" s="33" t="s">
        <v>277</v>
      </c>
      <c r="D21" s="33" t="s">
        <v>249</v>
      </c>
      <c r="E21" s="33" t="s">
        <v>273</v>
      </c>
      <c r="F21" s="33" t="s">
        <v>278</v>
      </c>
      <c r="G21" s="34"/>
      <c r="H21" s="57"/>
      <c r="I21" s="62">
        <f t="shared" si="0"/>
        <v>0</v>
      </c>
      <c r="J21" s="62">
        <f t="shared" si="1"/>
        <v>0</v>
      </c>
      <c r="K21" s="63"/>
      <c r="L21" s="34"/>
    </row>
    <row r="22" spans="2:12" ht="16.5" customHeight="1" x14ac:dyDescent="0.2">
      <c r="B22" s="56">
        <v>10</v>
      </c>
      <c r="C22" s="33" t="s">
        <v>279</v>
      </c>
      <c r="D22" s="33" t="s">
        <v>249</v>
      </c>
      <c r="E22" s="33" t="s">
        <v>220</v>
      </c>
      <c r="F22" s="33" t="s">
        <v>280</v>
      </c>
      <c r="G22" s="34"/>
      <c r="H22" s="57"/>
      <c r="I22" s="62">
        <f t="shared" si="0"/>
        <v>0</v>
      </c>
      <c r="J22" s="62">
        <f t="shared" si="1"/>
        <v>0</v>
      </c>
      <c r="K22" s="63"/>
      <c r="L22" s="34"/>
    </row>
    <row r="23" spans="2:12" ht="16.5" customHeight="1" x14ac:dyDescent="0.2">
      <c r="B23" s="56">
        <v>11</v>
      </c>
      <c r="C23" s="33" t="s">
        <v>281</v>
      </c>
      <c r="D23" s="33" t="s">
        <v>220</v>
      </c>
      <c r="E23" s="33" t="s">
        <v>282</v>
      </c>
      <c r="F23" s="33" t="s">
        <v>283</v>
      </c>
      <c r="G23" s="34"/>
      <c r="H23" s="57"/>
      <c r="I23" s="62">
        <f t="shared" si="0"/>
        <v>0</v>
      </c>
      <c r="J23" s="62">
        <f t="shared" si="1"/>
        <v>0</v>
      </c>
      <c r="K23" s="63"/>
      <c r="L23" s="34"/>
    </row>
    <row r="24" spans="2:12" ht="16.5" customHeight="1" x14ac:dyDescent="0.2">
      <c r="B24" s="56">
        <v>12</v>
      </c>
      <c r="C24" s="33" t="s">
        <v>284</v>
      </c>
      <c r="D24" s="33" t="s">
        <v>285</v>
      </c>
      <c r="E24" s="33" t="s">
        <v>286</v>
      </c>
      <c r="F24" s="33" t="s">
        <v>287</v>
      </c>
      <c r="G24" s="34"/>
      <c r="H24" s="57"/>
      <c r="I24" s="62">
        <f t="shared" si="0"/>
        <v>0</v>
      </c>
      <c r="J24" s="62">
        <f t="shared" si="1"/>
        <v>0</v>
      </c>
      <c r="K24" s="63"/>
      <c r="L24" s="34"/>
    </row>
    <row r="25" spans="2:12" ht="30" customHeight="1" x14ac:dyDescent="0.2">
      <c r="B25" s="56">
        <v>13</v>
      </c>
      <c r="C25" s="33" t="s">
        <v>288</v>
      </c>
      <c r="D25" s="33" t="s">
        <v>289</v>
      </c>
      <c r="E25" s="33" t="s">
        <v>290</v>
      </c>
      <c r="F25" s="33" t="s">
        <v>291</v>
      </c>
      <c r="G25" s="34"/>
      <c r="H25" s="57"/>
      <c r="I25" s="62">
        <f t="shared" si="0"/>
        <v>0</v>
      </c>
      <c r="J25" s="62">
        <f t="shared" si="1"/>
        <v>0</v>
      </c>
      <c r="K25" s="63"/>
      <c r="L25" s="34"/>
    </row>
    <row r="26" spans="2:12" ht="16.5" customHeight="1" x14ac:dyDescent="0.2">
      <c r="B26" s="56">
        <v>14</v>
      </c>
      <c r="C26" s="33" t="s">
        <v>292</v>
      </c>
      <c r="D26" s="33" t="s">
        <v>293</v>
      </c>
      <c r="E26" s="33" t="s">
        <v>249</v>
      </c>
      <c r="F26" s="33" t="s">
        <v>294</v>
      </c>
      <c r="G26" s="34"/>
      <c r="H26" s="57"/>
      <c r="I26" s="62">
        <f t="shared" si="0"/>
        <v>0</v>
      </c>
      <c r="J26" s="62">
        <f t="shared" si="1"/>
        <v>0</v>
      </c>
      <c r="K26" s="63"/>
      <c r="L26" s="34"/>
    </row>
    <row r="27" spans="2:12" ht="16.5" customHeight="1" x14ac:dyDescent="0.2">
      <c r="B27" s="56">
        <v>15</v>
      </c>
      <c r="C27" s="34"/>
      <c r="D27" s="34"/>
      <c r="E27" s="34"/>
      <c r="F27" s="34"/>
      <c r="G27" s="34"/>
      <c r="H27" s="57"/>
      <c r="I27" s="62">
        <f t="shared" si="0"/>
        <v>0</v>
      </c>
      <c r="J27" s="62">
        <f t="shared" si="1"/>
        <v>0</v>
      </c>
      <c r="K27" s="63"/>
      <c r="L27" s="34"/>
    </row>
    <row r="28" spans="2:12" ht="16.5" customHeight="1" x14ac:dyDescent="0.2">
      <c r="B28" s="56">
        <v>16</v>
      </c>
      <c r="C28" s="34"/>
      <c r="D28" s="34"/>
      <c r="E28" s="34"/>
      <c r="F28" s="34"/>
      <c r="G28" s="34"/>
      <c r="H28" s="57"/>
      <c r="I28" s="62">
        <f t="shared" si="0"/>
        <v>0</v>
      </c>
      <c r="J28" s="62">
        <f t="shared" si="1"/>
        <v>0</v>
      </c>
      <c r="K28" s="63"/>
      <c r="L28" s="34"/>
    </row>
    <row r="29" spans="2:12" ht="16.5" customHeight="1" x14ac:dyDescent="0.2">
      <c r="B29" s="56">
        <v>17</v>
      </c>
      <c r="C29" s="34"/>
      <c r="D29" s="34"/>
      <c r="E29" s="34"/>
      <c r="F29" s="34"/>
      <c r="G29" s="34"/>
      <c r="H29" s="57"/>
      <c r="I29" s="62">
        <f t="shared" si="0"/>
        <v>0</v>
      </c>
      <c r="J29" s="62">
        <f t="shared" si="1"/>
        <v>0</v>
      </c>
      <c r="K29" s="63"/>
      <c r="L29" s="34"/>
    </row>
    <row r="30" spans="2:12" ht="16.5" customHeight="1" x14ac:dyDescent="0.2">
      <c r="B30" s="56">
        <v>18</v>
      </c>
      <c r="C30" s="34"/>
      <c r="D30" s="34"/>
      <c r="E30" s="34"/>
      <c r="F30" s="34"/>
      <c r="G30" s="34"/>
      <c r="H30" s="57"/>
      <c r="I30" s="62">
        <f t="shared" si="0"/>
        <v>0</v>
      </c>
      <c r="J30" s="62">
        <f t="shared" si="1"/>
        <v>0</v>
      </c>
      <c r="K30" s="63"/>
      <c r="L30" s="34"/>
    </row>
  </sheetData>
  <mergeCells count="3">
    <mergeCell ref="F4:L4"/>
    <mergeCell ref="F5:L7"/>
    <mergeCell ref="F8:L9"/>
  </mergeCells>
  <conditionalFormatting sqref="G13:G30">
    <cfRule type="expression" dxfId="41" priority="2">
      <formula>G13="Manuell"</formula>
    </cfRule>
    <cfRule type="expression" dxfId="40" priority="3">
      <formula>G13="Fehlt"</formula>
    </cfRule>
    <cfRule type="expression" dxfId="39" priority="4">
      <formula>G13="Automatisch"</formula>
    </cfRule>
  </conditionalFormatting>
  <conditionalFormatting sqref="I13:J30">
    <cfRule type="expression" dxfId="38" priority="6">
      <formula>I13=0</formula>
    </cfRule>
  </conditionalFormatting>
  <conditionalFormatting sqref="K13:K30">
    <cfRule type="expression" dxfId="37" priority="5">
      <formula>K13="Hoch"</formula>
    </cfRule>
  </conditionalFormatting>
  <dataValidations count="1">
    <dataValidation type="whole" allowBlank="1" error="Bitte eine Zahl zwischen 0 und 10000 eingeben." sqref="H13:H30" xr:uid="{00000000-0002-0000-0300-000002000000}">
      <formula1>0</formula1>
      <formula2>10000</formula2>
    </dataValidation>
  </dataValidations>
  <pageMargins left="0.4" right="0.4" top="0.5" bottom="0.5" header="0.511811023622047" footer="0.5"/>
  <pageSetup paperSize="9" fitToHeight="0" orientation="landscape" horizontalDpi="300" verticalDpi="300"/>
  <headerFooter>
    <oddFooter>&amp;L&amp;8 Dr. Koch · System-Check Software-Evaluation&amp;R&amp;8 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Ungültiger Wert" error="Bitte einen Wert aus der Liste wählen." xr:uid="{00000000-0002-0000-0300-000000000000}">
          <x14:formula1>
            <xm:f>Listen!$F$2:$F$5</xm:f>
          </x14:formula1>
          <x14:formula2>
            <xm:f>0</xm:f>
          </x14:formula2>
          <xm:sqref>G13:G30</xm:sqref>
        </x14:dataValidation>
        <x14:dataValidation type="list" allowBlank="1" errorTitle="Ungültiger Wert" error="Bitte einen Wert aus der Liste wählen." xr:uid="{00000000-0002-0000-0300-000001000000}">
          <x14:formula1>
            <xm:f>Listen!$G$2:$G$4</xm:f>
          </x14:formula1>
          <x14:formula2>
            <xm:f>0</xm:f>
          </x14:formula2>
          <xm:sqref>K13:K30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5651D"/>
    <pageSetUpPr fitToPage="1"/>
  </sheetPr>
  <dimension ref="A1:M135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baseColWidth="10" defaultColWidth="8.6640625" defaultRowHeight="15" x14ac:dyDescent="0.2"/>
  <cols>
    <col min="1" max="1" width="6" customWidth="1"/>
    <col min="2" max="2" width="18" hidden="1" customWidth="1"/>
    <col min="3" max="3" width="30" customWidth="1"/>
    <col min="4" max="4" width="62" customWidth="1"/>
    <col min="5" max="5" width="9" customWidth="1"/>
    <col min="6" max="6" width="10" customWidth="1"/>
    <col min="7" max="7" width="11" customWidth="1"/>
    <col min="8" max="8" width="10" customWidth="1"/>
    <col min="9" max="9" width="11" customWidth="1"/>
    <col min="10" max="10" width="6" customWidth="1"/>
    <col min="11" max="11" width="10" customWidth="1"/>
    <col min="12" max="12" width="26" customWidth="1"/>
    <col min="13" max="13" width="5" hidden="1" customWidth="1"/>
  </cols>
  <sheetData>
    <row r="1" spans="1:13" ht="30" customHeight="1" x14ac:dyDescent="0.25">
      <c r="A1" s="31" t="s">
        <v>295</v>
      </c>
    </row>
    <row r="2" spans="1:13" x14ac:dyDescent="0.2">
      <c r="A2" s="17" t="s">
        <v>296</v>
      </c>
    </row>
    <row r="3" spans="1:13" x14ac:dyDescent="0.2">
      <c r="A3" s="64" t="s">
        <v>297</v>
      </c>
    </row>
    <row r="4" spans="1:13" x14ac:dyDescent="0.2">
      <c r="A4" s="65" t="str">
        <f>"Relevante Kriterien: "&amp;COUNTIF($K$7:$K$135,"&gt;0")&amp;"   ·   davon KO: "&amp;COUNTIFS($J$7:$J$135,"X",$K$7:$K$135,"&gt;0")&amp;"   ·   Fokus: "&amp;FokusEff</f>
        <v>Relevante Kriterien: 102   ·   davon KO: 0   ·   Fokus: Gesamtlösung (mehrere Bereiche)</v>
      </c>
    </row>
    <row r="6" spans="1:13" ht="31.5" customHeight="1" x14ac:dyDescent="0.2">
      <c r="A6" s="18" t="s">
        <v>49</v>
      </c>
      <c r="B6" s="18" t="s">
        <v>298</v>
      </c>
      <c r="C6" s="18" t="s">
        <v>299</v>
      </c>
      <c r="D6" s="18" t="s">
        <v>300</v>
      </c>
      <c r="E6" s="18" t="s">
        <v>120</v>
      </c>
      <c r="F6" s="18" t="s">
        <v>301</v>
      </c>
      <c r="G6" s="18" t="s">
        <v>302</v>
      </c>
      <c r="H6" s="18" t="s">
        <v>303</v>
      </c>
      <c r="I6" s="18" t="s">
        <v>304</v>
      </c>
      <c r="J6" s="18" t="s">
        <v>305</v>
      </c>
      <c r="K6" s="18" t="s">
        <v>306</v>
      </c>
      <c r="L6" s="18" t="s">
        <v>307</v>
      </c>
      <c r="M6" s="18" t="s">
        <v>308</v>
      </c>
    </row>
    <row r="7" spans="1:13" ht="19.5" customHeight="1" x14ac:dyDescent="0.2">
      <c r="A7" s="66" t="s">
        <v>309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</row>
    <row r="8" spans="1:13" ht="43.5" customHeight="1" x14ac:dyDescent="0.2">
      <c r="A8" s="68" t="s">
        <v>310</v>
      </c>
      <c r="B8" s="69" t="s">
        <v>309</v>
      </c>
      <c r="C8" s="40" t="s">
        <v>311</v>
      </c>
      <c r="D8" s="33" t="s">
        <v>312</v>
      </c>
      <c r="E8" s="42" t="s">
        <v>123</v>
      </c>
      <c r="F8" s="70" t="str">
        <f t="shared" ref="F8:F17" si="0">IFERROR(VLOOKUP(E8,Bereichstabelle,3,FALSE()),"Ja")</f>
        <v>Ja</v>
      </c>
      <c r="G8" s="63"/>
      <c r="H8" s="56">
        <v>5</v>
      </c>
      <c r="I8" s="63"/>
      <c r="J8" s="63"/>
      <c r="K8" s="71">
        <f t="shared" ref="K8:K17" si="1">IF(OR(C8="",IF(G8&lt;&gt;"",G8,F8)="Nein"),0,IF(J8="X",5,IF(I8="",N(H8),I8)))</f>
        <v>5</v>
      </c>
      <c r="L8" s="34"/>
      <c r="M8" s="72">
        <f>IF(K8&gt;0,COUNTIF($K$7:K8,"&gt;0"),"")</f>
        <v>1</v>
      </c>
    </row>
    <row r="9" spans="1:13" ht="30" customHeight="1" x14ac:dyDescent="0.2">
      <c r="A9" s="68" t="s">
        <v>313</v>
      </c>
      <c r="B9" s="69" t="s">
        <v>309</v>
      </c>
      <c r="C9" s="40" t="s">
        <v>314</v>
      </c>
      <c r="D9" s="33" t="s">
        <v>315</v>
      </c>
      <c r="E9" s="42" t="s">
        <v>123</v>
      </c>
      <c r="F9" s="70" t="str">
        <f t="shared" si="0"/>
        <v>Ja</v>
      </c>
      <c r="G9" s="63"/>
      <c r="H9" s="56">
        <v>5</v>
      </c>
      <c r="I9" s="63"/>
      <c r="J9" s="63"/>
      <c r="K9" s="71">
        <f t="shared" si="1"/>
        <v>5</v>
      </c>
      <c r="L9" s="34"/>
      <c r="M9" s="72">
        <f>IF(K9&gt;0,COUNTIF($K$7:K9,"&gt;0"),"")</f>
        <v>2</v>
      </c>
    </row>
    <row r="10" spans="1:13" ht="30" customHeight="1" x14ac:dyDescent="0.2">
      <c r="A10" s="68" t="s">
        <v>316</v>
      </c>
      <c r="B10" s="69" t="s">
        <v>309</v>
      </c>
      <c r="C10" s="40" t="s">
        <v>317</v>
      </c>
      <c r="D10" s="33" t="s">
        <v>318</v>
      </c>
      <c r="E10" s="42" t="s">
        <v>123</v>
      </c>
      <c r="F10" s="70" t="str">
        <f t="shared" si="0"/>
        <v>Ja</v>
      </c>
      <c r="G10" s="63"/>
      <c r="H10" s="56">
        <v>3</v>
      </c>
      <c r="I10" s="63"/>
      <c r="J10" s="63"/>
      <c r="K10" s="71">
        <f t="shared" si="1"/>
        <v>3</v>
      </c>
      <c r="L10" s="34"/>
      <c r="M10" s="72">
        <f>IF(K10&gt;0,COUNTIF($K$7:K10,"&gt;0"),"")</f>
        <v>3</v>
      </c>
    </row>
    <row r="11" spans="1:13" ht="30" customHeight="1" x14ac:dyDescent="0.2">
      <c r="A11" s="68" t="s">
        <v>319</v>
      </c>
      <c r="B11" s="69" t="s">
        <v>309</v>
      </c>
      <c r="C11" s="40" t="s">
        <v>320</v>
      </c>
      <c r="D11" s="33" t="s">
        <v>321</v>
      </c>
      <c r="E11" s="42" t="s">
        <v>123</v>
      </c>
      <c r="F11" s="70" t="str">
        <f t="shared" si="0"/>
        <v>Ja</v>
      </c>
      <c r="G11" s="63"/>
      <c r="H11" s="56">
        <v>3</v>
      </c>
      <c r="I11" s="63"/>
      <c r="J11" s="63"/>
      <c r="K11" s="71">
        <f t="shared" si="1"/>
        <v>3</v>
      </c>
      <c r="L11" s="34"/>
      <c r="M11" s="72">
        <f>IF(K11&gt;0,COUNTIF($K$7:K11,"&gt;0"),"")</f>
        <v>4</v>
      </c>
    </row>
    <row r="12" spans="1:13" ht="30" customHeight="1" x14ac:dyDescent="0.2">
      <c r="A12" s="68" t="s">
        <v>322</v>
      </c>
      <c r="B12" s="69" t="s">
        <v>309</v>
      </c>
      <c r="C12" s="40" t="s">
        <v>323</v>
      </c>
      <c r="D12" s="33" t="s">
        <v>324</v>
      </c>
      <c r="E12" s="42" t="s">
        <v>123</v>
      </c>
      <c r="F12" s="70" t="str">
        <f t="shared" si="0"/>
        <v>Ja</v>
      </c>
      <c r="G12" s="63"/>
      <c r="H12" s="56">
        <v>3</v>
      </c>
      <c r="I12" s="63"/>
      <c r="J12" s="63"/>
      <c r="K12" s="71">
        <f t="shared" si="1"/>
        <v>3</v>
      </c>
      <c r="L12" s="34"/>
      <c r="M12" s="72">
        <f>IF(K12&gt;0,COUNTIF($K$7:K12,"&gt;0"),"")</f>
        <v>5</v>
      </c>
    </row>
    <row r="13" spans="1:13" ht="30" customHeight="1" x14ac:dyDescent="0.2">
      <c r="A13" s="68" t="s">
        <v>325</v>
      </c>
      <c r="B13" s="69" t="s">
        <v>309</v>
      </c>
      <c r="C13" s="40" t="s">
        <v>326</v>
      </c>
      <c r="D13" s="33" t="s">
        <v>327</v>
      </c>
      <c r="E13" s="42" t="s">
        <v>123</v>
      </c>
      <c r="F13" s="70" t="str">
        <f t="shared" si="0"/>
        <v>Ja</v>
      </c>
      <c r="G13" s="63"/>
      <c r="H13" s="56">
        <v>5</v>
      </c>
      <c r="I13" s="63"/>
      <c r="J13" s="63"/>
      <c r="K13" s="71">
        <f t="shared" si="1"/>
        <v>5</v>
      </c>
      <c r="L13" s="34"/>
      <c r="M13" s="72">
        <f>IF(K13&gt;0,COUNTIF($K$7:K13,"&gt;0"),"")</f>
        <v>6</v>
      </c>
    </row>
    <row r="14" spans="1:13" ht="30" customHeight="1" x14ac:dyDescent="0.2">
      <c r="A14" s="68" t="s">
        <v>328</v>
      </c>
      <c r="B14" s="69" t="s">
        <v>309</v>
      </c>
      <c r="C14" s="40" t="s">
        <v>329</v>
      </c>
      <c r="D14" s="33" t="s">
        <v>330</v>
      </c>
      <c r="E14" s="42" t="s">
        <v>123</v>
      </c>
      <c r="F14" s="70" t="str">
        <f t="shared" si="0"/>
        <v>Ja</v>
      </c>
      <c r="G14" s="63"/>
      <c r="H14" s="56">
        <v>3</v>
      </c>
      <c r="I14" s="63"/>
      <c r="J14" s="63"/>
      <c r="K14" s="71">
        <f t="shared" si="1"/>
        <v>3</v>
      </c>
      <c r="L14" s="34"/>
      <c r="M14" s="72">
        <f>IF(K14&gt;0,COUNTIF($K$7:K14,"&gt;0"),"")</f>
        <v>7</v>
      </c>
    </row>
    <row r="15" spans="1:13" ht="30" customHeight="1" x14ac:dyDescent="0.2">
      <c r="A15" s="68" t="s">
        <v>331</v>
      </c>
      <c r="B15" s="69" t="s">
        <v>309</v>
      </c>
      <c r="C15" s="40" t="s">
        <v>332</v>
      </c>
      <c r="D15" s="33" t="s">
        <v>333</v>
      </c>
      <c r="E15" s="42" t="s">
        <v>123</v>
      </c>
      <c r="F15" s="70" t="str">
        <f t="shared" si="0"/>
        <v>Ja</v>
      </c>
      <c r="G15" s="63"/>
      <c r="H15" s="56">
        <v>3</v>
      </c>
      <c r="I15" s="63"/>
      <c r="J15" s="63"/>
      <c r="K15" s="71">
        <f t="shared" si="1"/>
        <v>3</v>
      </c>
      <c r="L15" s="34"/>
      <c r="M15" s="72">
        <f>IF(K15&gt;0,COUNTIF($K$7:K15,"&gt;0"),"")</f>
        <v>8</v>
      </c>
    </row>
    <row r="16" spans="1:13" ht="30" customHeight="1" x14ac:dyDescent="0.2">
      <c r="A16" s="68" t="s">
        <v>334</v>
      </c>
      <c r="B16" s="69" t="s">
        <v>309</v>
      </c>
      <c r="C16" s="40" t="s">
        <v>335</v>
      </c>
      <c r="D16" s="33" t="s">
        <v>336</v>
      </c>
      <c r="E16" s="42" t="s">
        <v>123</v>
      </c>
      <c r="F16" s="70" t="str">
        <f t="shared" si="0"/>
        <v>Ja</v>
      </c>
      <c r="G16" s="63"/>
      <c r="H16" s="56">
        <v>3</v>
      </c>
      <c r="I16" s="63"/>
      <c r="J16" s="63"/>
      <c r="K16" s="71">
        <f t="shared" si="1"/>
        <v>3</v>
      </c>
      <c r="L16" s="34"/>
      <c r="M16" s="72">
        <f>IF(K16&gt;0,COUNTIF($K$7:K16,"&gt;0"),"")</f>
        <v>9</v>
      </c>
    </row>
    <row r="17" spans="1:13" ht="30" customHeight="1" x14ac:dyDescent="0.2">
      <c r="A17" s="68" t="s">
        <v>337</v>
      </c>
      <c r="B17" s="69" t="s">
        <v>309</v>
      </c>
      <c r="C17" s="40" t="s">
        <v>127</v>
      </c>
      <c r="D17" s="33" t="s">
        <v>338</v>
      </c>
      <c r="E17" s="42" t="s">
        <v>126</v>
      </c>
      <c r="F17" s="70" t="str">
        <f t="shared" si="0"/>
        <v>Ja</v>
      </c>
      <c r="G17" s="63"/>
      <c r="H17" s="56">
        <v>5</v>
      </c>
      <c r="I17" s="63"/>
      <c r="J17" s="63"/>
      <c r="K17" s="71">
        <f t="shared" si="1"/>
        <v>5</v>
      </c>
      <c r="L17" s="34"/>
      <c r="M17" s="72">
        <f>IF(K17&gt;0,COUNTIF($K$7:K17,"&gt;0"),"")</f>
        <v>10</v>
      </c>
    </row>
    <row r="18" spans="1:13" ht="19.5" customHeight="1" x14ac:dyDescent="0.2">
      <c r="A18" s="66" t="s">
        <v>339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ht="30" customHeight="1" x14ac:dyDescent="0.2">
      <c r="A19" s="68" t="s">
        <v>340</v>
      </c>
      <c r="B19" s="69" t="s">
        <v>339</v>
      </c>
      <c r="C19" s="40" t="s">
        <v>341</v>
      </c>
      <c r="D19" s="33" t="s">
        <v>342</v>
      </c>
      <c r="E19" s="42" t="s">
        <v>123</v>
      </c>
      <c r="F19" s="70" t="str">
        <f t="shared" ref="F19:F27" si="2">IFERROR(VLOOKUP(E19,Bereichstabelle,3,FALSE()),"Ja")</f>
        <v>Ja</v>
      </c>
      <c r="G19" s="63"/>
      <c r="H19" s="56">
        <v>5</v>
      </c>
      <c r="I19" s="63"/>
      <c r="J19" s="63"/>
      <c r="K19" s="71">
        <f t="shared" ref="K19:K27" si="3">IF(OR(C19="",IF(G19&lt;&gt;"",G19,F19)="Nein"),0,IF(J19="X",5,IF(I19="",N(H19),I19)))</f>
        <v>5</v>
      </c>
      <c r="L19" s="34"/>
      <c r="M19" s="72">
        <f>IF(K19&gt;0,COUNTIF($K$7:K19,"&gt;0"),"")</f>
        <v>11</v>
      </c>
    </row>
    <row r="20" spans="1:13" ht="30" customHeight="1" x14ac:dyDescent="0.2">
      <c r="A20" s="68" t="s">
        <v>343</v>
      </c>
      <c r="B20" s="69" t="s">
        <v>339</v>
      </c>
      <c r="C20" s="40" t="s">
        <v>344</v>
      </c>
      <c r="D20" s="33" t="s">
        <v>345</v>
      </c>
      <c r="E20" s="42" t="s">
        <v>123</v>
      </c>
      <c r="F20" s="70" t="str">
        <f t="shared" si="2"/>
        <v>Ja</v>
      </c>
      <c r="G20" s="63"/>
      <c r="H20" s="56">
        <v>5</v>
      </c>
      <c r="I20" s="63"/>
      <c r="J20" s="63"/>
      <c r="K20" s="71">
        <f t="shared" si="3"/>
        <v>5</v>
      </c>
      <c r="L20" s="34"/>
      <c r="M20" s="72">
        <f>IF(K20&gt;0,COUNTIF($K$7:K20,"&gt;0"),"")</f>
        <v>12</v>
      </c>
    </row>
    <row r="21" spans="1:13" ht="30" customHeight="1" x14ac:dyDescent="0.2">
      <c r="A21" s="68" t="s">
        <v>346</v>
      </c>
      <c r="B21" s="69" t="s">
        <v>339</v>
      </c>
      <c r="C21" s="40" t="s">
        <v>347</v>
      </c>
      <c r="D21" s="33" t="s">
        <v>348</v>
      </c>
      <c r="E21" s="42" t="s">
        <v>123</v>
      </c>
      <c r="F21" s="70" t="str">
        <f t="shared" si="2"/>
        <v>Ja</v>
      </c>
      <c r="G21" s="63"/>
      <c r="H21" s="56">
        <v>3</v>
      </c>
      <c r="I21" s="63"/>
      <c r="J21" s="63"/>
      <c r="K21" s="71">
        <f t="shared" si="3"/>
        <v>3</v>
      </c>
      <c r="L21" s="34"/>
      <c r="M21" s="72">
        <f>IF(K21&gt;0,COUNTIF($K$7:K21,"&gt;0"),"")</f>
        <v>13</v>
      </c>
    </row>
    <row r="22" spans="1:13" ht="30" customHeight="1" x14ac:dyDescent="0.2">
      <c r="A22" s="68" t="s">
        <v>349</v>
      </c>
      <c r="B22" s="69" t="s">
        <v>339</v>
      </c>
      <c r="C22" s="40" t="s">
        <v>350</v>
      </c>
      <c r="D22" s="33" t="s">
        <v>351</v>
      </c>
      <c r="E22" s="42" t="s">
        <v>123</v>
      </c>
      <c r="F22" s="70" t="str">
        <f t="shared" si="2"/>
        <v>Ja</v>
      </c>
      <c r="G22" s="63"/>
      <c r="H22" s="56">
        <v>5</v>
      </c>
      <c r="I22" s="63"/>
      <c r="J22" s="63"/>
      <c r="K22" s="71">
        <f t="shared" si="3"/>
        <v>5</v>
      </c>
      <c r="L22" s="34"/>
      <c r="M22" s="72">
        <f>IF(K22&gt;0,COUNTIF($K$7:K22,"&gt;0"),"")</f>
        <v>14</v>
      </c>
    </row>
    <row r="23" spans="1:13" ht="30" customHeight="1" x14ac:dyDescent="0.2">
      <c r="A23" s="68" t="s">
        <v>352</v>
      </c>
      <c r="B23" s="69" t="s">
        <v>339</v>
      </c>
      <c r="C23" s="40" t="s">
        <v>353</v>
      </c>
      <c r="D23" s="33" t="s">
        <v>354</v>
      </c>
      <c r="E23" s="42" t="s">
        <v>123</v>
      </c>
      <c r="F23" s="70" t="str">
        <f t="shared" si="2"/>
        <v>Ja</v>
      </c>
      <c r="G23" s="63"/>
      <c r="H23" s="56">
        <v>5</v>
      </c>
      <c r="I23" s="63"/>
      <c r="J23" s="63"/>
      <c r="K23" s="71">
        <f t="shared" si="3"/>
        <v>5</v>
      </c>
      <c r="L23" s="34"/>
      <c r="M23" s="72">
        <f>IF(K23&gt;0,COUNTIF($K$7:K23,"&gt;0"),"")</f>
        <v>15</v>
      </c>
    </row>
    <row r="24" spans="1:13" ht="30" customHeight="1" x14ac:dyDescent="0.2">
      <c r="A24" s="68" t="s">
        <v>355</v>
      </c>
      <c r="B24" s="69" t="s">
        <v>339</v>
      </c>
      <c r="C24" s="40" t="s">
        <v>356</v>
      </c>
      <c r="D24" s="33" t="s">
        <v>357</v>
      </c>
      <c r="E24" s="42" t="s">
        <v>123</v>
      </c>
      <c r="F24" s="70" t="str">
        <f t="shared" si="2"/>
        <v>Ja</v>
      </c>
      <c r="G24" s="63"/>
      <c r="H24" s="56">
        <v>3</v>
      </c>
      <c r="I24" s="63"/>
      <c r="J24" s="63"/>
      <c r="K24" s="71">
        <f t="shared" si="3"/>
        <v>3</v>
      </c>
      <c r="L24" s="34"/>
      <c r="M24" s="72">
        <f>IF(K24&gt;0,COUNTIF($K$7:K24,"&gt;0"),"")</f>
        <v>16</v>
      </c>
    </row>
    <row r="25" spans="1:13" ht="30" customHeight="1" x14ac:dyDescent="0.2">
      <c r="A25" s="68" t="s">
        <v>358</v>
      </c>
      <c r="B25" s="69" t="s">
        <v>339</v>
      </c>
      <c r="C25" s="40" t="s">
        <v>359</v>
      </c>
      <c r="D25" s="33" t="s">
        <v>360</v>
      </c>
      <c r="E25" s="42" t="s">
        <v>123</v>
      </c>
      <c r="F25" s="70" t="str">
        <f t="shared" si="2"/>
        <v>Ja</v>
      </c>
      <c r="G25" s="63"/>
      <c r="H25" s="56">
        <v>5</v>
      </c>
      <c r="I25" s="63"/>
      <c r="J25" s="63"/>
      <c r="K25" s="71">
        <f t="shared" si="3"/>
        <v>5</v>
      </c>
      <c r="L25" s="34"/>
      <c r="M25" s="72">
        <f>IF(K25&gt;0,COUNTIF($K$7:K25,"&gt;0"),"")</f>
        <v>17</v>
      </c>
    </row>
    <row r="26" spans="1:13" ht="30" customHeight="1" x14ac:dyDescent="0.2">
      <c r="A26" s="68" t="s">
        <v>361</v>
      </c>
      <c r="B26" s="69" t="s">
        <v>339</v>
      </c>
      <c r="C26" s="40" t="s">
        <v>362</v>
      </c>
      <c r="D26" s="33" t="s">
        <v>363</v>
      </c>
      <c r="E26" s="42" t="s">
        <v>123</v>
      </c>
      <c r="F26" s="70" t="str">
        <f t="shared" si="2"/>
        <v>Ja</v>
      </c>
      <c r="G26" s="63"/>
      <c r="H26" s="56">
        <v>3</v>
      </c>
      <c r="I26" s="63"/>
      <c r="J26" s="63"/>
      <c r="K26" s="71">
        <f t="shared" si="3"/>
        <v>3</v>
      </c>
      <c r="L26" s="34"/>
      <c r="M26" s="72">
        <f>IF(K26&gt;0,COUNTIF($K$7:K26,"&gt;0"),"")</f>
        <v>18</v>
      </c>
    </row>
    <row r="27" spans="1:13" ht="30" customHeight="1" x14ac:dyDescent="0.2">
      <c r="A27" s="68" t="s">
        <v>364</v>
      </c>
      <c r="B27" s="69" t="s">
        <v>339</v>
      </c>
      <c r="C27" s="40" t="s">
        <v>365</v>
      </c>
      <c r="D27" s="33" t="s">
        <v>366</v>
      </c>
      <c r="E27" s="42" t="s">
        <v>123</v>
      </c>
      <c r="F27" s="70" t="str">
        <f t="shared" si="2"/>
        <v>Ja</v>
      </c>
      <c r="G27" s="63"/>
      <c r="H27" s="56">
        <v>3</v>
      </c>
      <c r="I27" s="63"/>
      <c r="J27" s="63"/>
      <c r="K27" s="71">
        <f t="shared" si="3"/>
        <v>3</v>
      </c>
      <c r="L27" s="34"/>
      <c r="M27" s="72">
        <f>IF(K27&gt;0,COUNTIF($K$7:K27,"&gt;0"),"")</f>
        <v>19</v>
      </c>
    </row>
    <row r="28" spans="1:13" ht="19.5" customHeight="1" x14ac:dyDescent="0.2">
      <c r="A28" s="66" t="s">
        <v>367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ht="43.5" customHeight="1" x14ac:dyDescent="0.2">
      <c r="A29" s="68" t="s">
        <v>368</v>
      </c>
      <c r="B29" s="69" t="s">
        <v>367</v>
      </c>
      <c r="C29" s="40" t="s">
        <v>369</v>
      </c>
      <c r="D29" s="33" t="s">
        <v>370</v>
      </c>
      <c r="E29" s="42" t="s">
        <v>153</v>
      </c>
      <c r="F29" s="70" t="str">
        <f t="shared" ref="F29:F40" si="4">IFERROR(VLOOKUP(E29,Bereichstabelle,3,FALSE()),"Ja")</f>
        <v>Ja</v>
      </c>
      <c r="G29" s="63"/>
      <c r="H29" s="56">
        <v>5</v>
      </c>
      <c r="I29" s="63"/>
      <c r="J29" s="63"/>
      <c r="K29" s="71">
        <f t="shared" ref="K29:K40" si="5">IF(OR(C29="",IF(G29&lt;&gt;"",G29,F29)="Nein"),0,IF(J29="X",5,IF(I29="",N(H29),I29)))</f>
        <v>5</v>
      </c>
      <c r="L29" s="34"/>
      <c r="M29" s="72">
        <f>IF(K29&gt;0,COUNTIF($K$7:K29,"&gt;0"),"")</f>
        <v>20</v>
      </c>
    </row>
    <row r="30" spans="1:13" ht="43.5" customHeight="1" x14ac:dyDescent="0.2">
      <c r="A30" s="68" t="s">
        <v>371</v>
      </c>
      <c r="B30" s="69" t="s">
        <v>367</v>
      </c>
      <c r="C30" s="40" t="s">
        <v>257</v>
      </c>
      <c r="D30" s="33" t="s">
        <v>372</v>
      </c>
      <c r="E30" s="42" t="s">
        <v>156</v>
      </c>
      <c r="F30" s="70" t="str">
        <f t="shared" si="4"/>
        <v>Ja</v>
      </c>
      <c r="G30" s="63"/>
      <c r="H30" s="56">
        <v>5</v>
      </c>
      <c r="I30" s="63"/>
      <c r="J30" s="63"/>
      <c r="K30" s="71">
        <f t="shared" si="5"/>
        <v>5</v>
      </c>
      <c r="L30" s="34"/>
      <c r="M30" s="72">
        <f>IF(K30&gt;0,COUNTIF($K$7:K30,"&gt;0"),"")</f>
        <v>21</v>
      </c>
    </row>
    <row r="31" spans="1:13" ht="30" customHeight="1" x14ac:dyDescent="0.2">
      <c r="A31" s="68" t="s">
        <v>373</v>
      </c>
      <c r="B31" s="69" t="s">
        <v>367</v>
      </c>
      <c r="C31" s="40" t="s">
        <v>374</v>
      </c>
      <c r="D31" s="33" t="s">
        <v>375</v>
      </c>
      <c r="E31" s="42" t="s">
        <v>159</v>
      </c>
      <c r="F31" s="70" t="str">
        <f t="shared" si="4"/>
        <v>Nein</v>
      </c>
      <c r="G31" s="63"/>
      <c r="H31" s="56">
        <v>5</v>
      </c>
      <c r="I31" s="63"/>
      <c r="J31" s="63"/>
      <c r="K31" s="71">
        <f t="shared" si="5"/>
        <v>0</v>
      </c>
      <c r="L31" s="34"/>
      <c r="M31" s="72" t="str">
        <f>IF(K31&gt;0,COUNTIF($K$7:K31,"&gt;0"),"")</f>
        <v/>
      </c>
    </row>
    <row r="32" spans="1:13" ht="16.5" customHeight="1" x14ac:dyDescent="0.2">
      <c r="A32" s="68" t="s">
        <v>376</v>
      </c>
      <c r="B32" s="69" t="s">
        <v>367</v>
      </c>
      <c r="C32" s="40" t="s">
        <v>377</v>
      </c>
      <c r="D32" s="33" t="s">
        <v>378</v>
      </c>
      <c r="E32" s="42" t="s">
        <v>162</v>
      </c>
      <c r="F32" s="70" t="str">
        <f t="shared" si="4"/>
        <v>Nein</v>
      </c>
      <c r="G32" s="63"/>
      <c r="H32" s="56">
        <v>3</v>
      </c>
      <c r="I32" s="63"/>
      <c r="J32" s="63"/>
      <c r="K32" s="71">
        <f t="shared" si="5"/>
        <v>0</v>
      </c>
      <c r="L32" s="34"/>
      <c r="M32" s="72" t="str">
        <f>IF(K32&gt;0,COUNTIF($K$7:K32,"&gt;0"),"")</f>
        <v/>
      </c>
    </row>
    <row r="33" spans="1:13" ht="30" customHeight="1" x14ac:dyDescent="0.2">
      <c r="A33" s="68" t="s">
        <v>379</v>
      </c>
      <c r="B33" s="69" t="s">
        <v>367</v>
      </c>
      <c r="C33" s="40" t="s">
        <v>380</v>
      </c>
      <c r="D33" s="33" t="s">
        <v>381</v>
      </c>
      <c r="E33" s="42" t="s">
        <v>165</v>
      </c>
      <c r="F33" s="70" t="str">
        <f t="shared" si="4"/>
        <v>Nein</v>
      </c>
      <c r="G33" s="63"/>
      <c r="H33" s="56">
        <v>3</v>
      </c>
      <c r="I33" s="63"/>
      <c r="J33" s="63"/>
      <c r="K33" s="71">
        <f t="shared" si="5"/>
        <v>0</v>
      </c>
      <c r="L33" s="34"/>
      <c r="M33" s="72" t="str">
        <f>IF(K33&gt;0,COUNTIF($K$7:K33,"&gt;0"),"")</f>
        <v/>
      </c>
    </row>
    <row r="34" spans="1:13" ht="16.5" customHeight="1" x14ac:dyDescent="0.2">
      <c r="A34" s="68" t="s">
        <v>382</v>
      </c>
      <c r="B34" s="69" t="s">
        <v>367</v>
      </c>
      <c r="C34" s="40" t="s">
        <v>383</v>
      </c>
      <c r="D34" s="33" t="s">
        <v>384</v>
      </c>
      <c r="E34" s="42" t="s">
        <v>168</v>
      </c>
      <c r="F34" s="70" t="str">
        <f t="shared" si="4"/>
        <v>Nein</v>
      </c>
      <c r="G34" s="63"/>
      <c r="H34" s="56">
        <v>3</v>
      </c>
      <c r="I34" s="63"/>
      <c r="J34" s="63"/>
      <c r="K34" s="71">
        <f t="shared" si="5"/>
        <v>0</v>
      </c>
      <c r="L34" s="34"/>
      <c r="M34" s="72" t="str">
        <f>IF(K34&gt;0,COUNTIF($K$7:K34,"&gt;0"),"")</f>
        <v/>
      </c>
    </row>
    <row r="35" spans="1:13" ht="30" customHeight="1" x14ac:dyDescent="0.2">
      <c r="A35" s="68" t="s">
        <v>385</v>
      </c>
      <c r="B35" s="69" t="s">
        <v>367</v>
      </c>
      <c r="C35" s="40" t="s">
        <v>386</v>
      </c>
      <c r="D35" s="33" t="s">
        <v>387</v>
      </c>
      <c r="E35" s="42" t="s">
        <v>171</v>
      </c>
      <c r="F35" s="70" t="str">
        <f t="shared" si="4"/>
        <v>Nein</v>
      </c>
      <c r="G35" s="63"/>
      <c r="H35" s="56">
        <v>5</v>
      </c>
      <c r="I35" s="63"/>
      <c r="J35" s="63"/>
      <c r="K35" s="71">
        <f t="shared" si="5"/>
        <v>0</v>
      </c>
      <c r="L35" s="34"/>
      <c r="M35" s="72" t="str">
        <f>IF(K35&gt;0,COUNTIF($K$7:K35,"&gt;0"),"")</f>
        <v/>
      </c>
    </row>
    <row r="36" spans="1:13" ht="30" customHeight="1" x14ac:dyDescent="0.2">
      <c r="A36" s="68" t="s">
        <v>388</v>
      </c>
      <c r="B36" s="69" t="s">
        <v>367</v>
      </c>
      <c r="C36" s="40" t="s">
        <v>389</v>
      </c>
      <c r="D36" s="33" t="s">
        <v>390</v>
      </c>
      <c r="E36" s="42" t="s">
        <v>147</v>
      </c>
      <c r="F36" s="70" t="str">
        <f t="shared" si="4"/>
        <v>Ja</v>
      </c>
      <c r="G36" s="63"/>
      <c r="H36" s="56">
        <v>3</v>
      </c>
      <c r="I36" s="63"/>
      <c r="J36" s="63"/>
      <c r="K36" s="71">
        <f t="shared" si="5"/>
        <v>3</v>
      </c>
      <c r="L36" s="34"/>
      <c r="M36" s="72">
        <f>IF(K36&gt;0,COUNTIF($K$7:K36,"&gt;0"),"")</f>
        <v>22</v>
      </c>
    </row>
    <row r="37" spans="1:13" ht="30" customHeight="1" x14ac:dyDescent="0.2">
      <c r="A37" s="68" t="s">
        <v>391</v>
      </c>
      <c r="B37" s="69" t="s">
        <v>367</v>
      </c>
      <c r="C37" s="40" t="s">
        <v>392</v>
      </c>
      <c r="D37" s="33" t="s">
        <v>393</v>
      </c>
      <c r="E37" s="42" t="s">
        <v>174</v>
      </c>
      <c r="F37" s="70" t="str">
        <f t="shared" si="4"/>
        <v>Nein</v>
      </c>
      <c r="G37" s="63"/>
      <c r="H37" s="56">
        <v>3</v>
      </c>
      <c r="I37" s="63"/>
      <c r="J37" s="63"/>
      <c r="K37" s="71">
        <f t="shared" si="5"/>
        <v>0</v>
      </c>
      <c r="L37" s="34"/>
      <c r="M37" s="72" t="str">
        <f>IF(K37&gt;0,COUNTIF($K$7:K37,"&gt;0"),"")</f>
        <v/>
      </c>
    </row>
    <row r="38" spans="1:13" ht="30" customHeight="1" x14ac:dyDescent="0.2">
      <c r="A38" s="68" t="s">
        <v>394</v>
      </c>
      <c r="B38" s="69" t="s">
        <v>367</v>
      </c>
      <c r="C38" s="40" t="s">
        <v>395</v>
      </c>
      <c r="D38" s="33" t="s">
        <v>396</v>
      </c>
      <c r="E38" s="42" t="s">
        <v>123</v>
      </c>
      <c r="F38" s="70" t="str">
        <f t="shared" si="4"/>
        <v>Ja</v>
      </c>
      <c r="G38" s="63"/>
      <c r="H38" s="56">
        <v>3</v>
      </c>
      <c r="I38" s="63"/>
      <c r="J38" s="63"/>
      <c r="K38" s="71">
        <f t="shared" si="5"/>
        <v>3</v>
      </c>
      <c r="L38" s="34"/>
      <c r="M38" s="72">
        <f>IF(K38&gt;0,COUNTIF($K$7:K38,"&gt;0"),"")</f>
        <v>23</v>
      </c>
    </row>
    <row r="39" spans="1:13" ht="16.5" customHeight="1" x14ac:dyDescent="0.2">
      <c r="A39" s="68" t="s">
        <v>397</v>
      </c>
      <c r="B39" s="69" t="s">
        <v>367</v>
      </c>
      <c r="C39" s="40" t="s">
        <v>398</v>
      </c>
      <c r="D39" s="33" t="s">
        <v>399</v>
      </c>
      <c r="E39" s="42" t="s">
        <v>123</v>
      </c>
      <c r="F39" s="70" t="str">
        <f t="shared" si="4"/>
        <v>Ja</v>
      </c>
      <c r="G39" s="63"/>
      <c r="H39" s="56">
        <v>3</v>
      </c>
      <c r="I39" s="63"/>
      <c r="J39" s="63"/>
      <c r="K39" s="71">
        <f t="shared" si="5"/>
        <v>3</v>
      </c>
      <c r="L39" s="34"/>
      <c r="M39" s="72">
        <f>IF(K39&gt;0,COUNTIF($K$7:K39,"&gt;0"),"")</f>
        <v>24</v>
      </c>
    </row>
    <row r="40" spans="1:13" ht="30" customHeight="1" x14ac:dyDescent="0.2">
      <c r="A40" s="68" t="s">
        <v>400</v>
      </c>
      <c r="B40" s="69" t="s">
        <v>367</v>
      </c>
      <c r="C40" s="40" t="s">
        <v>401</v>
      </c>
      <c r="D40" s="33" t="s">
        <v>402</v>
      </c>
      <c r="E40" s="42" t="s">
        <v>123</v>
      </c>
      <c r="F40" s="70" t="str">
        <f t="shared" si="4"/>
        <v>Ja</v>
      </c>
      <c r="G40" s="63"/>
      <c r="H40" s="56">
        <v>3</v>
      </c>
      <c r="I40" s="63"/>
      <c r="J40" s="63"/>
      <c r="K40" s="71">
        <f t="shared" si="5"/>
        <v>3</v>
      </c>
      <c r="L40" s="34"/>
      <c r="M40" s="72">
        <f>IF(K40&gt;0,COUNTIF($K$7:K40,"&gt;0"),"")</f>
        <v>25</v>
      </c>
    </row>
    <row r="41" spans="1:13" ht="19.5" customHeight="1" x14ac:dyDescent="0.2">
      <c r="A41" s="66" t="s">
        <v>130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</row>
    <row r="42" spans="1:13" ht="30" customHeight="1" x14ac:dyDescent="0.2">
      <c r="A42" s="68" t="s">
        <v>403</v>
      </c>
      <c r="B42" s="69" t="s">
        <v>130</v>
      </c>
      <c r="C42" s="40" t="s">
        <v>404</v>
      </c>
      <c r="D42" s="33" t="s">
        <v>405</v>
      </c>
      <c r="E42" s="42" t="s">
        <v>129</v>
      </c>
      <c r="F42" s="70" t="str">
        <f t="shared" ref="F42:F52" si="6">IFERROR(VLOOKUP(E42,Bereichstabelle,3,FALSE()),"Ja")</f>
        <v>Ja</v>
      </c>
      <c r="G42" s="63"/>
      <c r="H42" s="56">
        <v>3</v>
      </c>
      <c r="I42" s="63"/>
      <c r="J42" s="63"/>
      <c r="K42" s="71">
        <f t="shared" ref="K42:K52" si="7">IF(OR(C42="",IF(G42&lt;&gt;"",G42,F42)="Nein"),0,IF(J42="X",5,IF(I42="",N(H42),I42)))</f>
        <v>3</v>
      </c>
      <c r="L42" s="34"/>
      <c r="M42" s="72">
        <f>IF(K42&gt;0,COUNTIF($K$7:K42,"&gt;0"),"")</f>
        <v>26</v>
      </c>
    </row>
    <row r="43" spans="1:13" ht="30" customHeight="1" x14ac:dyDescent="0.2">
      <c r="A43" s="68" t="s">
        <v>406</v>
      </c>
      <c r="B43" s="69" t="s">
        <v>130</v>
      </c>
      <c r="C43" s="40" t="s">
        <v>407</v>
      </c>
      <c r="D43" s="33" t="s">
        <v>408</v>
      </c>
      <c r="E43" s="42" t="s">
        <v>129</v>
      </c>
      <c r="F43" s="70" t="str">
        <f t="shared" si="6"/>
        <v>Ja</v>
      </c>
      <c r="G43" s="63"/>
      <c r="H43" s="56">
        <v>5</v>
      </c>
      <c r="I43" s="63"/>
      <c r="J43" s="63"/>
      <c r="K43" s="71">
        <f t="shared" si="7"/>
        <v>5</v>
      </c>
      <c r="L43" s="34"/>
      <c r="M43" s="72">
        <f>IF(K43&gt;0,COUNTIF($K$7:K43,"&gt;0"),"")</f>
        <v>27</v>
      </c>
    </row>
    <row r="44" spans="1:13" ht="30" customHeight="1" x14ac:dyDescent="0.2">
      <c r="A44" s="68" t="s">
        <v>409</v>
      </c>
      <c r="B44" s="69" t="s">
        <v>130</v>
      </c>
      <c r="C44" s="40" t="s">
        <v>410</v>
      </c>
      <c r="D44" s="33" t="s">
        <v>411</v>
      </c>
      <c r="E44" s="42" t="s">
        <v>129</v>
      </c>
      <c r="F44" s="70" t="str">
        <f t="shared" si="6"/>
        <v>Ja</v>
      </c>
      <c r="G44" s="63"/>
      <c r="H44" s="56">
        <v>5</v>
      </c>
      <c r="I44" s="63"/>
      <c r="J44" s="63"/>
      <c r="K44" s="71">
        <f t="shared" si="7"/>
        <v>5</v>
      </c>
      <c r="L44" s="34"/>
      <c r="M44" s="72">
        <f>IF(K44&gt;0,COUNTIF($K$7:K44,"&gt;0"),"")</f>
        <v>28</v>
      </c>
    </row>
    <row r="45" spans="1:13" ht="30" customHeight="1" x14ac:dyDescent="0.2">
      <c r="A45" s="68" t="s">
        <v>412</v>
      </c>
      <c r="B45" s="69" t="s">
        <v>130</v>
      </c>
      <c r="C45" s="40" t="s">
        <v>413</v>
      </c>
      <c r="D45" s="33" t="s">
        <v>414</v>
      </c>
      <c r="E45" s="42" t="s">
        <v>129</v>
      </c>
      <c r="F45" s="70" t="str">
        <f t="shared" si="6"/>
        <v>Ja</v>
      </c>
      <c r="G45" s="63"/>
      <c r="H45" s="56">
        <v>5</v>
      </c>
      <c r="I45" s="63"/>
      <c r="J45" s="63"/>
      <c r="K45" s="71">
        <f t="shared" si="7"/>
        <v>5</v>
      </c>
      <c r="L45" s="34"/>
      <c r="M45" s="72">
        <f>IF(K45&gt;0,COUNTIF($K$7:K45,"&gt;0"),"")</f>
        <v>29</v>
      </c>
    </row>
    <row r="46" spans="1:13" ht="30" customHeight="1" x14ac:dyDescent="0.2">
      <c r="A46" s="68" t="s">
        <v>415</v>
      </c>
      <c r="B46" s="69" t="s">
        <v>130</v>
      </c>
      <c r="C46" s="40" t="s">
        <v>416</v>
      </c>
      <c r="D46" s="33" t="s">
        <v>417</v>
      </c>
      <c r="E46" s="42" t="s">
        <v>129</v>
      </c>
      <c r="F46" s="70" t="str">
        <f t="shared" si="6"/>
        <v>Ja</v>
      </c>
      <c r="G46" s="63"/>
      <c r="H46" s="56">
        <v>3</v>
      </c>
      <c r="I46" s="63"/>
      <c r="J46" s="63"/>
      <c r="K46" s="71">
        <f t="shared" si="7"/>
        <v>3</v>
      </c>
      <c r="L46" s="34"/>
      <c r="M46" s="72">
        <f>IF(K46&gt;0,COUNTIF($K$7:K46,"&gt;0"),"")</f>
        <v>30</v>
      </c>
    </row>
    <row r="47" spans="1:13" ht="30" customHeight="1" x14ac:dyDescent="0.2">
      <c r="A47" s="68" t="s">
        <v>418</v>
      </c>
      <c r="B47" s="69" t="s">
        <v>130</v>
      </c>
      <c r="C47" s="40" t="s">
        <v>419</v>
      </c>
      <c r="D47" s="33" t="s">
        <v>420</v>
      </c>
      <c r="E47" s="42" t="s">
        <v>129</v>
      </c>
      <c r="F47" s="70" t="str">
        <f t="shared" si="6"/>
        <v>Ja</v>
      </c>
      <c r="G47" s="63"/>
      <c r="H47" s="56">
        <v>5</v>
      </c>
      <c r="I47" s="63"/>
      <c r="J47" s="63"/>
      <c r="K47" s="71">
        <f t="shared" si="7"/>
        <v>5</v>
      </c>
      <c r="L47" s="34"/>
      <c r="M47" s="72">
        <f>IF(K47&gt;0,COUNTIF($K$7:K47,"&gt;0"),"")</f>
        <v>31</v>
      </c>
    </row>
    <row r="48" spans="1:13" ht="30" customHeight="1" x14ac:dyDescent="0.2">
      <c r="A48" s="68" t="s">
        <v>421</v>
      </c>
      <c r="B48" s="69" t="s">
        <v>130</v>
      </c>
      <c r="C48" s="40" t="s">
        <v>422</v>
      </c>
      <c r="D48" s="33" t="s">
        <v>423</v>
      </c>
      <c r="E48" s="42" t="s">
        <v>129</v>
      </c>
      <c r="F48" s="70" t="str">
        <f t="shared" si="6"/>
        <v>Ja</v>
      </c>
      <c r="G48" s="63"/>
      <c r="H48" s="56">
        <v>3</v>
      </c>
      <c r="I48" s="63"/>
      <c r="J48" s="63"/>
      <c r="K48" s="71">
        <f t="shared" si="7"/>
        <v>3</v>
      </c>
      <c r="L48" s="34"/>
      <c r="M48" s="72">
        <f>IF(K48&gt;0,COUNTIF($K$7:K48,"&gt;0"),"")</f>
        <v>32</v>
      </c>
    </row>
    <row r="49" spans="1:13" ht="30" customHeight="1" x14ac:dyDescent="0.2">
      <c r="A49" s="68" t="s">
        <v>424</v>
      </c>
      <c r="B49" s="69" t="s">
        <v>130</v>
      </c>
      <c r="C49" s="40" t="s">
        <v>425</v>
      </c>
      <c r="D49" s="33" t="s">
        <v>426</v>
      </c>
      <c r="E49" s="42" t="s">
        <v>129</v>
      </c>
      <c r="F49" s="70" t="str">
        <f t="shared" si="6"/>
        <v>Ja</v>
      </c>
      <c r="G49" s="63"/>
      <c r="H49" s="56">
        <v>5</v>
      </c>
      <c r="I49" s="63"/>
      <c r="J49" s="63"/>
      <c r="K49" s="71">
        <f t="shared" si="7"/>
        <v>5</v>
      </c>
      <c r="L49" s="34"/>
      <c r="M49" s="72">
        <f>IF(K49&gt;0,COUNTIF($K$7:K49,"&gt;0"),"")</f>
        <v>33</v>
      </c>
    </row>
    <row r="50" spans="1:13" ht="30" customHeight="1" x14ac:dyDescent="0.2">
      <c r="A50" s="68" t="s">
        <v>427</v>
      </c>
      <c r="B50" s="69" t="s">
        <v>130</v>
      </c>
      <c r="C50" s="40" t="s">
        <v>428</v>
      </c>
      <c r="D50" s="33" t="s">
        <v>429</v>
      </c>
      <c r="E50" s="42" t="s">
        <v>129</v>
      </c>
      <c r="F50" s="70" t="str">
        <f t="shared" si="6"/>
        <v>Ja</v>
      </c>
      <c r="G50" s="63"/>
      <c r="H50" s="56">
        <v>5</v>
      </c>
      <c r="I50" s="63"/>
      <c r="J50" s="63"/>
      <c r="K50" s="71">
        <f t="shared" si="7"/>
        <v>5</v>
      </c>
      <c r="L50" s="34"/>
      <c r="M50" s="72">
        <f>IF(K50&gt;0,COUNTIF($K$7:K50,"&gt;0"),"")</f>
        <v>34</v>
      </c>
    </row>
    <row r="51" spans="1:13" ht="30" customHeight="1" x14ac:dyDescent="0.2">
      <c r="A51" s="68" t="s">
        <v>430</v>
      </c>
      <c r="B51" s="69" t="s">
        <v>130</v>
      </c>
      <c r="C51" s="40" t="s">
        <v>431</v>
      </c>
      <c r="D51" s="33" t="s">
        <v>432</v>
      </c>
      <c r="E51" s="42" t="s">
        <v>129</v>
      </c>
      <c r="F51" s="70" t="str">
        <f t="shared" si="6"/>
        <v>Ja</v>
      </c>
      <c r="G51" s="63"/>
      <c r="H51" s="56">
        <v>3</v>
      </c>
      <c r="I51" s="63"/>
      <c r="J51" s="63"/>
      <c r="K51" s="71">
        <f t="shared" si="7"/>
        <v>3</v>
      </c>
      <c r="L51" s="34"/>
      <c r="M51" s="72">
        <f>IF(K51&gt;0,COUNTIF($K$7:K51,"&gt;0"),"")</f>
        <v>35</v>
      </c>
    </row>
    <row r="52" spans="1:13" ht="16.5" customHeight="1" x14ac:dyDescent="0.2">
      <c r="A52" s="68" t="s">
        <v>433</v>
      </c>
      <c r="B52" s="69" t="s">
        <v>130</v>
      </c>
      <c r="C52" s="40" t="s">
        <v>434</v>
      </c>
      <c r="D52" s="33" t="s">
        <v>435</v>
      </c>
      <c r="E52" s="42" t="s">
        <v>129</v>
      </c>
      <c r="F52" s="70" t="str">
        <f t="shared" si="6"/>
        <v>Ja</v>
      </c>
      <c r="G52" s="63"/>
      <c r="H52" s="56">
        <v>1</v>
      </c>
      <c r="I52" s="63"/>
      <c r="J52" s="63"/>
      <c r="K52" s="71">
        <f t="shared" si="7"/>
        <v>1</v>
      </c>
      <c r="L52" s="34"/>
      <c r="M52" s="72">
        <f>IF(K52&gt;0,COUNTIF($K$7:K52,"&gt;0"),"")</f>
        <v>36</v>
      </c>
    </row>
    <row r="53" spans="1:13" ht="19.5" customHeight="1" x14ac:dyDescent="0.2">
      <c r="A53" s="66" t="s">
        <v>133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</row>
    <row r="54" spans="1:13" ht="30" customHeight="1" x14ac:dyDescent="0.2">
      <c r="A54" s="68" t="s">
        <v>436</v>
      </c>
      <c r="B54" s="69" t="s">
        <v>133</v>
      </c>
      <c r="C54" s="40" t="s">
        <v>437</v>
      </c>
      <c r="D54" s="33" t="s">
        <v>438</v>
      </c>
      <c r="E54" s="42" t="s">
        <v>132</v>
      </c>
      <c r="F54" s="70" t="str">
        <f t="shared" ref="F54:F61" si="8">IFERROR(VLOOKUP(E54,Bereichstabelle,3,FALSE()),"Ja")</f>
        <v>Ja</v>
      </c>
      <c r="G54" s="63"/>
      <c r="H54" s="56">
        <v>5</v>
      </c>
      <c r="I54" s="63"/>
      <c r="J54" s="63"/>
      <c r="K54" s="71">
        <f t="shared" ref="K54:K61" si="9">IF(OR(C54="",IF(G54&lt;&gt;"",G54,F54)="Nein"),0,IF(J54="X",5,IF(I54="",N(H54),I54)))</f>
        <v>5</v>
      </c>
      <c r="L54" s="34"/>
      <c r="M54" s="72">
        <f>IF(K54&gt;0,COUNTIF($K$7:K54,"&gt;0"),"")</f>
        <v>37</v>
      </c>
    </row>
    <row r="55" spans="1:13" ht="30" customHeight="1" x14ac:dyDescent="0.2">
      <c r="A55" s="68" t="s">
        <v>439</v>
      </c>
      <c r="B55" s="69" t="s">
        <v>133</v>
      </c>
      <c r="C55" s="40" t="s">
        <v>440</v>
      </c>
      <c r="D55" s="33" t="s">
        <v>441</v>
      </c>
      <c r="E55" s="42" t="s">
        <v>132</v>
      </c>
      <c r="F55" s="70" t="str">
        <f t="shared" si="8"/>
        <v>Ja</v>
      </c>
      <c r="G55" s="63"/>
      <c r="H55" s="56">
        <v>5</v>
      </c>
      <c r="I55" s="63"/>
      <c r="J55" s="63"/>
      <c r="K55" s="71">
        <f t="shared" si="9"/>
        <v>5</v>
      </c>
      <c r="L55" s="34"/>
      <c r="M55" s="72">
        <f>IF(K55&gt;0,COUNTIF($K$7:K55,"&gt;0"),"")</f>
        <v>38</v>
      </c>
    </row>
    <row r="56" spans="1:13" ht="30" customHeight="1" x14ac:dyDescent="0.2">
      <c r="A56" s="68" t="s">
        <v>442</v>
      </c>
      <c r="B56" s="69" t="s">
        <v>133</v>
      </c>
      <c r="C56" s="40" t="s">
        <v>443</v>
      </c>
      <c r="D56" s="33" t="s">
        <v>444</v>
      </c>
      <c r="E56" s="42" t="s">
        <v>132</v>
      </c>
      <c r="F56" s="70" t="str">
        <f t="shared" si="8"/>
        <v>Ja</v>
      </c>
      <c r="G56" s="63"/>
      <c r="H56" s="56">
        <v>3</v>
      </c>
      <c r="I56" s="63"/>
      <c r="J56" s="63"/>
      <c r="K56" s="71">
        <f t="shared" si="9"/>
        <v>3</v>
      </c>
      <c r="L56" s="34"/>
      <c r="M56" s="72">
        <f>IF(K56&gt;0,COUNTIF($K$7:K56,"&gt;0"),"")</f>
        <v>39</v>
      </c>
    </row>
    <row r="57" spans="1:13" ht="30" customHeight="1" x14ac:dyDescent="0.2">
      <c r="A57" s="68" t="s">
        <v>445</v>
      </c>
      <c r="B57" s="69" t="s">
        <v>133</v>
      </c>
      <c r="C57" s="40" t="s">
        <v>446</v>
      </c>
      <c r="D57" s="33" t="s">
        <v>447</v>
      </c>
      <c r="E57" s="42" t="s">
        <v>132</v>
      </c>
      <c r="F57" s="70" t="str">
        <f t="shared" si="8"/>
        <v>Ja</v>
      </c>
      <c r="G57" s="63"/>
      <c r="H57" s="56">
        <v>3</v>
      </c>
      <c r="I57" s="63"/>
      <c r="J57" s="63"/>
      <c r="K57" s="71">
        <f t="shared" si="9"/>
        <v>3</v>
      </c>
      <c r="L57" s="34"/>
      <c r="M57" s="72">
        <f>IF(K57&gt;0,COUNTIF($K$7:K57,"&gt;0"),"")</f>
        <v>40</v>
      </c>
    </row>
    <row r="58" spans="1:13" ht="30" customHeight="1" x14ac:dyDescent="0.2">
      <c r="A58" s="68" t="s">
        <v>448</v>
      </c>
      <c r="B58" s="69" t="s">
        <v>133</v>
      </c>
      <c r="C58" s="40" t="s">
        <v>449</v>
      </c>
      <c r="D58" s="33" t="s">
        <v>450</v>
      </c>
      <c r="E58" s="42" t="s">
        <v>132</v>
      </c>
      <c r="F58" s="70" t="str">
        <f t="shared" si="8"/>
        <v>Ja</v>
      </c>
      <c r="G58" s="63"/>
      <c r="H58" s="56">
        <v>3</v>
      </c>
      <c r="I58" s="63"/>
      <c r="J58" s="63"/>
      <c r="K58" s="71">
        <f t="shared" si="9"/>
        <v>3</v>
      </c>
      <c r="L58" s="34"/>
      <c r="M58" s="72">
        <f>IF(K58&gt;0,COUNTIF($K$7:K58,"&gt;0"),"")</f>
        <v>41</v>
      </c>
    </row>
    <row r="59" spans="1:13" ht="16.5" customHeight="1" x14ac:dyDescent="0.2">
      <c r="A59" s="68" t="s">
        <v>451</v>
      </c>
      <c r="B59" s="69" t="s">
        <v>133</v>
      </c>
      <c r="C59" s="40" t="s">
        <v>452</v>
      </c>
      <c r="D59" s="33" t="s">
        <v>453</v>
      </c>
      <c r="E59" s="42" t="s">
        <v>132</v>
      </c>
      <c r="F59" s="70" t="str">
        <f t="shared" si="8"/>
        <v>Ja</v>
      </c>
      <c r="G59" s="63"/>
      <c r="H59" s="56">
        <v>1</v>
      </c>
      <c r="I59" s="63"/>
      <c r="J59" s="63"/>
      <c r="K59" s="71">
        <f t="shared" si="9"/>
        <v>1</v>
      </c>
      <c r="L59" s="34"/>
      <c r="M59" s="72">
        <f>IF(K59&gt;0,COUNTIF($K$7:K59,"&gt;0"),"")</f>
        <v>42</v>
      </c>
    </row>
    <row r="60" spans="1:13" ht="30" customHeight="1" x14ac:dyDescent="0.2">
      <c r="A60" s="68" t="s">
        <v>454</v>
      </c>
      <c r="B60" s="69" t="s">
        <v>133</v>
      </c>
      <c r="C60" s="40" t="s">
        <v>455</v>
      </c>
      <c r="D60" s="33" t="s">
        <v>456</v>
      </c>
      <c r="E60" s="42" t="s">
        <v>132</v>
      </c>
      <c r="F60" s="70" t="str">
        <f t="shared" si="8"/>
        <v>Ja</v>
      </c>
      <c r="G60" s="63"/>
      <c r="H60" s="56">
        <v>3</v>
      </c>
      <c r="I60" s="63"/>
      <c r="J60" s="63"/>
      <c r="K60" s="71">
        <f t="shared" si="9"/>
        <v>3</v>
      </c>
      <c r="L60" s="34"/>
      <c r="M60" s="72">
        <f>IF(K60&gt;0,COUNTIF($K$7:K60,"&gt;0"),"")</f>
        <v>43</v>
      </c>
    </row>
    <row r="61" spans="1:13" ht="30" customHeight="1" x14ac:dyDescent="0.2">
      <c r="A61" s="68" t="s">
        <v>457</v>
      </c>
      <c r="B61" s="69" t="s">
        <v>133</v>
      </c>
      <c r="C61" s="40" t="s">
        <v>458</v>
      </c>
      <c r="D61" s="33" t="s">
        <v>459</v>
      </c>
      <c r="E61" s="42" t="s">
        <v>132</v>
      </c>
      <c r="F61" s="70" t="str">
        <f t="shared" si="8"/>
        <v>Ja</v>
      </c>
      <c r="G61" s="63"/>
      <c r="H61" s="56">
        <v>5</v>
      </c>
      <c r="I61" s="63"/>
      <c r="J61" s="63"/>
      <c r="K61" s="71">
        <f t="shared" si="9"/>
        <v>5</v>
      </c>
      <c r="L61" s="34"/>
      <c r="M61" s="72">
        <f>IF(K61&gt;0,COUNTIF($K$7:K61,"&gt;0"),"")</f>
        <v>44</v>
      </c>
    </row>
    <row r="62" spans="1:13" ht="19.5" customHeight="1" x14ac:dyDescent="0.2">
      <c r="A62" s="66" t="s">
        <v>136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</row>
    <row r="63" spans="1:13" ht="30" customHeight="1" x14ac:dyDescent="0.2">
      <c r="A63" s="68" t="s">
        <v>460</v>
      </c>
      <c r="B63" s="69" t="s">
        <v>136</v>
      </c>
      <c r="C63" s="40" t="s">
        <v>461</v>
      </c>
      <c r="D63" s="33" t="s">
        <v>462</v>
      </c>
      <c r="E63" s="42" t="s">
        <v>135</v>
      </c>
      <c r="F63" s="70" t="str">
        <f t="shared" ref="F63:F69" si="10">IFERROR(VLOOKUP(E63,Bereichstabelle,3,FALSE()),"Ja")</f>
        <v>Ja</v>
      </c>
      <c r="G63" s="63"/>
      <c r="H63" s="56">
        <v>5</v>
      </c>
      <c r="I63" s="63"/>
      <c r="J63" s="63"/>
      <c r="K63" s="71">
        <f t="shared" ref="K63:K69" si="11">IF(OR(C63="",IF(G63&lt;&gt;"",G63,F63)="Nein"),0,IF(J63="X",5,IF(I63="",N(H63),I63)))</f>
        <v>5</v>
      </c>
      <c r="L63" s="34"/>
      <c r="M63" s="72">
        <f>IF(K63&gt;0,COUNTIF($K$7:K63,"&gt;0"),"")</f>
        <v>45</v>
      </c>
    </row>
    <row r="64" spans="1:13" ht="30" customHeight="1" x14ac:dyDescent="0.2">
      <c r="A64" s="68" t="s">
        <v>463</v>
      </c>
      <c r="B64" s="69" t="s">
        <v>136</v>
      </c>
      <c r="C64" s="40" t="s">
        <v>464</v>
      </c>
      <c r="D64" s="33" t="s">
        <v>465</v>
      </c>
      <c r="E64" s="42" t="s">
        <v>135</v>
      </c>
      <c r="F64" s="70" t="str">
        <f t="shared" si="10"/>
        <v>Ja</v>
      </c>
      <c r="G64" s="63"/>
      <c r="H64" s="56">
        <v>5</v>
      </c>
      <c r="I64" s="63"/>
      <c r="J64" s="63"/>
      <c r="K64" s="71">
        <f t="shared" si="11"/>
        <v>5</v>
      </c>
      <c r="L64" s="34"/>
      <c r="M64" s="72">
        <f>IF(K64&gt;0,COUNTIF($K$7:K64,"&gt;0"),"")</f>
        <v>46</v>
      </c>
    </row>
    <row r="65" spans="1:13" ht="30" customHeight="1" x14ac:dyDescent="0.2">
      <c r="A65" s="68" t="s">
        <v>466</v>
      </c>
      <c r="B65" s="69" t="s">
        <v>136</v>
      </c>
      <c r="C65" s="40" t="s">
        <v>217</v>
      </c>
      <c r="D65" s="33" t="s">
        <v>467</v>
      </c>
      <c r="E65" s="42" t="s">
        <v>135</v>
      </c>
      <c r="F65" s="70" t="str">
        <f t="shared" si="10"/>
        <v>Ja</v>
      </c>
      <c r="G65" s="63"/>
      <c r="H65" s="56">
        <v>5</v>
      </c>
      <c r="I65" s="63"/>
      <c r="J65" s="63"/>
      <c r="K65" s="71">
        <f t="shared" si="11"/>
        <v>5</v>
      </c>
      <c r="L65" s="34"/>
      <c r="M65" s="72">
        <f>IF(K65&gt;0,COUNTIF($K$7:K65,"&gt;0"),"")</f>
        <v>47</v>
      </c>
    </row>
    <row r="66" spans="1:13" ht="16.5" customHeight="1" x14ac:dyDescent="0.2">
      <c r="A66" s="68" t="s">
        <v>468</v>
      </c>
      <c r="B66" s="69" t="s">
        <v>136</v>
      </c>
      <c r="C66" s="40" t="s">
        <v>469</v>
      </c>
      <c r="D66" s="33" t="s">
        <v>470</v>
      </c>
      <c r="E66" s="42" t="s">
        <v>135</v>
      </c>
      <c r="F66" s="70" t="str">
        <f t="shared" si="10"/>
        <v>Ja</v>
      </c>
      <c r="G66" s="63"/>
      <c r="H66" s="56">
        <v>3</v>
      </c>
      <c r="I66" s="63"/>
      <c r="J66" s="63"/>
      <c r="K66" s="71">
        <f t="shared" si="11"/>
        <v>3</v>
      </c>
      <c r="L66" s="34"/>
      <c r="M66" s="72">
        <f>IF(K66&gt;0,COUNTIF($K$7:K66,"&gt;0"),"")</f>
        <v>48</v>
      </c>
    </row>
    <row r="67" spans="1:13" ht="16.5" customHeight="1" x14ac:dyDescent="0.2">
      <c r="A67" s="68" t="s">
        <v>471</v>
      </c>
      <c r="B67" s="69" t="s">
        <v>136</v>
      </c>
      <c r="C67" s="40" t="s">
        <v>472</v>
      </c>
      <c r="D67" s="33" t="s">
        <v>473</v>
      </c>
      <c r="E67" s="42" t="s">
        <v>135</v>
      </c>
      <c r="F67" s="70" t="str">
        <f t="shared" si="10"/>
        <v>Ja</v>
      </c>
      <c r="G67" s="63"/>
      <c r="H67" s="56">
        <v>3</v>
      </c>
      <c r="I67" s="63"/>
      <c r="J67" s="63"/>
      <c r="K67" s="71">
        <f t="shared" si="11"/>
        <v>3</v>
      </c>
      <c r="L67" s="34"/>
      <c r="M67" s="72">
        <f>IF(K67&gt;0,COUNTIF($K$7:K67,"&gt;0"),"")</f>
        <v>49</v>
      </c>
    </row>
    <row r="68" spans="1:13" ht="30" customHeight="1" x14ac:dyDescent="0.2">
      <c r="A68" s="68" t="s">
        <v>474</v>
      </c>
      <c r="B68" s="69" t="s">
        <v>136</v>
      </c>
      <c r="C68" s="40" t="s">
        <v>475</v>
      </c>
      <c r="D68" s="33" t="s">
        <v>476</v>
      </c>
      <c r="E68" s="42" t="s">
        <v>135</v>
      </c>
      <c r="F68" s="70" t="str">
        <f t="shared" si="10"/>
        <v>Ja</v>
      </c>
      <c r="G68" s="63"/>
      <c r="H68" s="56">
        <v>3</v>
      </c>
      <c r="I68" s="63"/>
      <c r="J68" s="63"/>
      <c r="K68" s="71">
        <f t="shared" si="11"/>
        <v>3</v>
      </c>
      <c r="L68" s="34"/>
      <c r="M68" s="72">
        <f>IF(K68&gt;0,COUNTIF($K$7:K68,"&gt;0"),"")</f>
        <v>50</v>
      </c>
    </row>
    <row r="69" spans="1:13" ht="30" customHeight="1" x14ac:dyDescent="0.2">
      <c r="A69" s="68" t="s">
        <v>477</v>
      </c>
      <c r="B69" s="69" t="s">
        <v>136</v>
      </c>
      <c r="C69" s="40" t="s">
        <v>478</v>
      </c>
      <c r="D69" s="33" t="s">
        <v>479</v>
      </c>
      <c r="E69" s="42" t="s">
        <v>135</v>
      </c>
      <c r="F69" s="70" t="str">
        <f t="shared" si="10"/>
        <v>Ja</v>
      </c>
      <c r="G69" s="63"/>
      <c r="H69" s="56">
        <v>5</v>
      </c>
      <c r="I69" s="63"/>
      <c r="J69" s="63"/>
      <c r="K69" s="71">
        <f t="shared" si="11"/>
        <v>5</v>
      </c>
      <c r="L69" s="34"/>
      <c r="M69" s="72">
        <f>IF(K69&gt;0,COUNTIF($K$7:K69,"&gt;0"),"")</f>
        <v>51</v>
      </c>
    </row>
    <row r="70" spans="1:13" ht="19.5" customHeight="1" x14ac:dyDescent="0.2">
      <c r="A70" s="66" t="s">
        <v>139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</row>
    <row r="71" spans="1:13" ht="30" customHeight="1" x14ac:dyDescent="0.2">
      <c r="A71" s="68" t="s">
        <v>480</v>
      </c>
      <c r="B71" s="69" t="s">
        <v>139</v>
      </c>
      <c r="C71" s="40" t="s">
        <v>215</v>
      </c>
      <c r="D71" s="33" t="s">
        <v>481</v>
      </c>
      <c r="E71" s="42" t="s">
        <v>138</v>
      </c>
      <c r="F71" s="70" t="str">
        <f t="shared" ref="F71:F77" si="12">IFERROR(VLOOKUP(E71,Bereichstabelle,3,FALSE()),"Ja")</f>
        <v>Ja</v>
      </c>
      <c r="G71" s="63"/>
      <c r="H71" s="56">
        <v>5</v>
      </c>
      <c r="I71" s="63"/>
      <c r="J71" s="63"/>
      <c r="K71" s="71">
        <f t="shared" ref="K71:K77" si="13">IF(OR(C71="",IF(G71&lt;&gt;"",G71,F71)="Nein"),0,IF(J71="X",5,IF(I71="",N(H71),I71)))</f>
        <v>5</v>
      </c>
      <c r="L71" s="34"/>
      <c r="M71" s="72">
        <f>IF(K71&gt;0,COUNTIF($K$7:K71,"&gt;0"),"")</f>
        <v>52</v>
      </c>
    </row>
    <row r="72" spans="1:13" ht="16.5" customHeight="1" x14ac:dyDescent="0.2">
      <c r="A72" s="68" t="s">
        <v>482</v>
      </c>
      <c r="B72" s="69" t="s">
        <v>139</v>
      </c>
      <c r="C72" s="40" t="s">
        <v>483</v>
      </c>
      <c r="D72" s="33" t="s">
        <v>484</v>
      </c>
      <c r="E72" s="42" t="s">
        <v>138</v>
      </c>
      <c r="F72" s="70" t="str">
        <f t="shared" si="12"/>
        <v>Ja</v>
      </c>
      <c r="G72" s="63"/>
      <c r="H72" s="56">
        <v>3</v>
      </c>
      <c r="I72" s="63"/>
      <c r="J72" s="63"/>
      <c r="K72" s="71">
        <f t="shared" si="13"/>
        <v>3</v>
      </c>
      <c r="L72" s="34"/>
      <c r="M72" s="72">
        <f>IF(K72&gt;0,COUNTIF($K$7:K72,"&gt;0"),"")</f>
        <v>53</v>
      </c>
    </row>
    <row r="73" spans="1:13" ht="30" customHeight="1" x14ac:dyDescent="0.2">
      <c r="A73" s="68" t="s">
        <v>485</v>
      </c>
      <c r="B73" s="69" t="s">
        <v>139</v>
      </c>
      <c r="C73" s="40" t="s">
        <v>486</v>
      </c>
      <c r="D73" s="33" t="s">
        <v>487</v>
      </c>
      <c r="E73" s="42" t="s">
        <v>138</v>
      </c>
      <c r="F73" s="70" t="str">
        <f t="shared" si="12"/>
        <v>Ja</v>
      </c>
      <c r="G73" s="63"/>
      <c r="H73" s="56">
        <v>3</v>
      </c>
      <c r="I73" s="63"/>
      <c r="J73" s="63"/>
      <c r="K73" s="71">
        <f t="shared" si="13"/>
        <v>3</v>
      </c>
      <c r="L73" s="34"/>
      <c r="M73" s="72">
        <f>IF(K73&gt;0,COUNTIF($K$7:K73,"&gt;0"),"")</f>
        <v>54</v>
      </c>
    </row>
    <row r="74" spans="1:13" ht="30" customHeight="1" x14ac:dyDescent="0.2">
      <c r="A74" s="68" t="s">
        <v>488</v>
      </c>
      <c r="B74" s="69" t="s">
        <v>139</v>
      </c>
      <c r="C74" s="40" t="s">
        <v>489</v>
      </c>
      <c r="D74" s="33" t="s">
        <v>490</v>
      </c>
      <c r="E74" s="42" t="s">
        <v>138</v>
      </c>
      <c r="F74" s="70" t="str">
        <f t="shared" si="12"/>
        <v>Ja</v>
      </c>
      <c r="G74" s="63"/>
      <c r="H74" s="56">
        <v>3</v>
      </c>
      <c r="I74" s="63"/>
      <c r="J74" s="63"/>
      <c r="K74" s="71">
        <f t="shared" si="13"/>
        <v>3</v>
      </c>
      <c r="L74" s="34"/>
      <c r="M74" s="72">
        <f>IF(K74&gt;0,COUNTIF($K$7:K74,"&gt;0"),"")</f>
        <v>55</v>
      </c>
    </row>
    <row r="75" spans="1:13" ht="30" customHeight="1" x14ac:dyDescent="0.2">
      <c r="A75" s="68" t="s">
        <v>491</v>
      </c>
      <c r="B75" s="69" t="s">
        <v>139</v>
      </c>
      <c r="C75" s="40" t="s">
        <v>492</v>
      </c>
      <c r="D75" s="33" t="s">
        <v>493</v>
      </c>
      <c r="E75" s="42" t="s">
        <v>138</v>
      </c>
      <c r="F75" s="70" t="str">
        <f t="shared" si="12"/>
        <v>Ja</v>
      </c>
      <c r="G75" s="63"/>
      <c r="H75" s="56">
        <v>5</v>
      </c>
      <c r="I75" s="63"/>
      <c r="J75" s="63"/>
      <c r="K75" s="71">
        <f t="shared" si="13"/>
        <v>5</v>
      </c>
      <c r="L75" s="34"/>
      <c r="M75" s="72">
        <f>IF(K75&gt;0,COUNTIF($K$7:K75,"&gt;0"),"")</f>
        <v>56</v>
      </c>
    </row>
    <row r="76" spans="1:13" ht="16.5" customHeight="1" x14ac:dyDescent="0.2">
      <c r="A76" s="68" t="s">
        <v>494</v>
      </c>
      <c r="B76" s="69" t="s">
        <v>139</v>
      </c>
      <c r="C76" s="40" t="s">
        <v>495</v>
      </c>
      <c r="D76" s="33" t="s">
        <v>496</v>
      </c>
      <c r="E76" s="42" t="s">
        <v>138</v>
      </c>
      <c r="F76" s="70" t="str">
        <f t="shared" si="12"/>
        <v>Ja</v>
      </c>
      <c r="G76" s="63"/>
      <c r="H76" s="56">
        <v>1</v>
      </c>
      <c r="I76" s="63"/>
      <c r="J76" s="63"/>
      <c r="K76" s="71">
        <f t="shared" si="13"/>
        <v>1</v>
      </c>
      <c r="L76" s="34"/>
      <c r="M76" s="72">
        <f>IF(K76&gt;0,COUNTIF($K$7:K76,"&gt;0"),"")</f>
        <v>57</v>
      </c>
    </row>
    <row r="77" spans="1:13" ht="30" customHeight="1" x14ac:dyDescent="0.2">
      <c r="A77" s="68" t="s">
        <v>497</v>
      </c>
      <c r="B77" s="69" t="s">
        <v>139</v>
      </c>
      <c r="C77" s="40" t="s">
        <v>268</v>
      </c>
      <c r="D77" s="33" t="s">
        <v>498</v>
      </c>
      <c r="E77" s="42" t="s">
        <v>138</v>
      </c>
      <c r="F77" s="70" t="str">
        <f t="shared" si="12"/>
        <v>Ja</v>
      </c>
      <c r="G77" s="63"/>
      <c r="H77" s="56">
        <v>1</v>
      </c>
      <c r="I77" s="63"/>
      <c r="J77" s="63"/>
      <c r="K77" s="71">
        <f t="shared" si="13"/>
        <v>1</v>
      </c>
      <c r="L77" s="34"/>
      <c r="M77" s="72">
        <f>IF(K77&gt;0,COUNTIF($K$7:K77,"&gt;0"),"")</f>
        <v>58</v>
      </c>
    </row>
    <row r="78" spans="1:13" ht="19.5" customHeight="1" x14ac:dyDescent="0.2">
      <c r="A78" s="66" t="s">
        <v>142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</row>
    <row r="79" spans="1:13" ht="30" customHeight="1" x14ac:dyDescent="0.2">
      <c r="A79" s="68" t="s">
        <v>499</v>
      </c>
      <c r="B79" s="69" t="s">
        <v>142</v>
      </c>
      <c r="C79" s="40" t="s">
        <v>500</v>
      </c>
      <c r="D79" s="33" t="s">
        <v>501</v>
      </c>
      <c r="E79" s="42" t="s">
        <v>141</v>
      </c>
      <c r="F79" s="70" t="str">
        <f t="shared" ref="F79:F84" si="14">IFERROR(VLOOKUP(E79,Bereichstabelle,3,FALSE()),"Ja")</f>
        <v>Ja</v>
      </c>
      <c r="G79" s="63"/>
      <c r="H79" s="56">
        <v>5</v>
      </c>
      <c r="I79" s="63"/>
      <c r="J79" s="63"/>
      <c r="K79" s="71">
        <f t="shared" ref="K79:K84" si="15">IF(OR(C79="",IF(G79&lt;&gt;"",G79,F79)="Nein"),0,IF(J79="X",5,IF(I79="",N(H79),I79)))</f>
        <v>5</v>
      </c>
      <c r="L79" s="34"/>
      <c r="M79" s="72">
        <f>IF(K79&gt;0,COUNTIF($K$7:K79,"&gt;0"),"")</f>
        <v>59</v>
      </c>
    </row>
    <row r="80" spans="1:13" ht="30" customHeight="1" x14ac:dyDescent="0.2">
      <c r="A80" s="68" t="s">
        <v>502</v>
      </c>
      <c r="B80" s="69" t="s">
        <v>142</v>
      </c>
      <c r="C80" s="40" t="s">
        <v>282</v>
      </c>
      <c r="D80" s="33" t="s">
        <v>503</v>
      </c>
      <c r="E80" s="42" t="s">
        <v>141</v>
      </c>
      <c r="F80" s="70" t="str">
        <f t="shared" si="14"/>
        <v>Ja</v>
      </c>
      <c r="G80" s="63"/>
      <c r="H80" s="56">
        <v>5</v>
      </c>
      <c r="I80" s="63"/>
      <c r="J80" s="63"/>
      <c r="K80" s="71">
        <f t="shared" si="15"/>
        <v>5</v>
      </c>
      <c r="L80" s="34"/>
      <c r="M80" s="72">
        <f>IF(K80&gt;0,COUNTIF($K$7:K80,"&gt;0"),"")</f>
        <v>60</v>
      </c>
    </row>
    <row r="81" spans="1:13" ht="16.5" customHeight="1" x14ac:dyDescent="0.2">
      <c r="A81" s="68" t="s">
        <v>504</v>
      </c>
      <c r="B81" s="69" t="s">
        <v>142</v>
      </c>
      <c r="C81" s="40" t="s">
        <v>505</v>
      </c>
      <c r="D81" s="33" t="s">
        <v>506</v>
      </c>
      <c r="E81" s="42" t="s">
        <v>141</v>
      </c>
      <c r="F81" s="70" t="str">
        <f t="shared" si="14"/>
        <v>Ja</v>
      </c>
      <c r="G81" s="63"/>
      <c r="H81" s="56">
        <v>5</v>
      </c>
      <c r="I81" s="63"/>
      <c r="J81" s="63"/>
      <c r="K81" s="71">
        <f t="shared" si="15"/>
        <v>5</v>
      </c>
      <c r="L81" s="34"/>
      <c r="M81" s="72">
        <f>IF(K81&gt;0,COUNTIF($K$7:K81,"&gt;0"),"")</f>
        <v>61</v>
      </c>
    </row>
    <row r="82" spans="1:13" ht="30" customHeight="1" x14ac:dyDescent="0.2">
      <c r="A82" s="68" t="s">
        <v>507</v>
      </c>
      <c r="B82" s="69" t="s">
        <v>142</v>
      </c>
      <c r="C82" s="40" t="s">
        <v>508</v>
      </c>
      <c r="D82" s="33" t="s">
        <v>509</v>
      </c>
      <c r="E82" s="42" t="s">
        <v>141</v>
      </c>
      <c r="F82" s="70" t="str">
        <f t="shared" si="14"/>
        <v>Ja</v>
      </c>
      <c r="G82" s="63"/>
      <c r="H82" s="56">
        <v>5</v>
      </c>
      <c r="I82" s="63"/>
      <c r="J82" s="63"/>
      <c r="K82" s="71">
        <f t="shared" si="15"/>
        <v>5</v>
      </c>
      <c r="L82" s="34"/>
      <c r="M82" s="72">
        <f>IF(K82&gt;0,COUNTIF($K$7:K82,"&gt;0"),"")</f>
        <v>62</v>
      </c>
    </row>
    <row r="83" spans="1:13" ht="30" customHeight="1" x14ac:dyDescent="0.2">
      <c r="A83" s="68" t="s">
        <v>510</v>
      </c>
      <c r="B83" s="69" t="s">
        <v>142</v>
      </c>
      <c r="C83" s="40" t="s">
        <v>511</v>
      </c>
      <c r="D83" s="33" t="s">
        <v>512</v>
      </c>
      <c r="E83" s="42" t="s">
        <v>141</v>
      </c>
      <c r="F83" s="70" t="str">
        <f t="shared" si="14"/>
        <v>Ja</v>
      </c>
      <c r="G83" s="63"/>
      <c r="H83" s="56">
        <v>3</v>
      </c>
      <c r="I83" s="63"/>
      <c r="J83" s="63"/>
      <c r="K83" s="71">
        <f t="shared" si="15"/>
        <v>3</v>
      </c>
      <c r="L83" s="34"/>
      <c r="M83" s="72">
        <f>IF(K83&gt;0,COUNTIF($K$7:K83,"&gt;0"),"")</f>
        <v>63</v>
      </c>
    </row>
    <row r="84" spans="1:13" ht="16.5" customHeight="1" x14ac:dyDescent="0.2">
      <c r="A84" s="68" t="s">
        <v>513</v>
      </c>
      <c r="B84" s="69" t="s">
        <v>142</v>
      </c>
      <c r="C84" s="40" t="s">
        <v>514</v>
      </c>
      <c r="D84" s="33" t="s">
        <v>515</v>
      </c>
      <c r="E84" s="42" t="s">
        <v>141</v>
      </c>
      <c r="F84" s="70" t="str">
        <f t="shared" si="14"/>
        <v>Ja</v>
      </c>
      <c r="G84" s="63"/>
      <c r="H84" s="56">
        <v>3</v>
      </c>
      <c r="I84" s="63"/>
      <c r="J84" s="63"/>
      <c r="K84" s="71">
        <f t="shared" si="15"/>
        <v>3</v>
      </c>
      <c r="L84" s="34"/>
      <c r="M84" s="72">
        <f>IF(K84&gt;0,COUNTIF($K$7:K84,"&gt;0"),"")</f>
        <v>64</v>
      </c>
    </row>
    <row r="85" spans="1:13" ht="19.5" customHeight="1" x14ac:dyDescent="0.2">
      <c r="A85" s="66" t="s">
        <v>145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</row>
    <row r="86" spans="1:13" ht="30" customHeight="1" x14ac:dyDescent="0.2">
      <c r="A86" s="68" t="s">
        <v>516</v>
      </c>
      <c r="B86" s="69" t="s">
        <v>145</v>
      </c>
      <c r="C86" s="40" t="s">
        <v>517</v>
      </c>
      <c r="D86" s="33" t="s">
        <v>518</v>
      </c>
      <c r="E86" s="42" t="s">
        <v>144</v>
      </c>
      <c r="F86" s="70" t="str">
        <f t="shared" ref="F86:F92" si="16">IFERROR(VLOOKUP(E86,Bereichstabelle,3,FALSE()),"Ja")</f>
        <v>Ja</v>
      </c>
      <c r="G86" s="63"/>
      <c r="H86" s="56">
        <v>5</v>
      </c>
      <c r="I86" s="63"/>
      <c r="J86" s="63"/>
      <c r="K86" s="71">
        <f t="shared" ref="K86:K92" si="17">IF(OR(C86="",IF(G86&lt;&gt;"",G86,F86)="Nein"),0,IF(J86="X",5,IF(I86="",N(H86),I86)))</f>
        <v>5</v>
      </c>
      <c r="L86" s="34"/>
      <c r="M86" s="72">
        <f>IF(K86&gt;0,COUNTIF($K$7:K86,"&gt;0"),"")</f>
        <v>65</v>
      </c>
    </row>
    <row r="87" spans="1:13" ht="16.5" customHeight="1" x14ac:dyDescent="0.2">
      <c r="A87" s="68" t="s">
        <v>519</v>
      </c>
      <c r="B87" s="69" t="s">
        <v>145</v>
      </c>
      <c r="C87" s="40" t="s">
        <v>520</v>
      </c>
      <c r="D87" s="33" t="s">
        <v>521</v>
      </c>
      <c r="E87" s="42" t="s">
        <v>144</v>
      </c>
      <c r="F87" s="70" t="str">
        <f t="shared" si="16"/>
        <v>Ja</v>
      </c>
      <c r="G87" s="63"/>
      <c r="H87" s="56">
        <v>3</v>
      </c>
      <c r="I87" s="63"/>
      <c r="J87" s="63"/>
      <c r="K87" s="71">
        <f t="shared" si="17"/>
        <v>3</v>
      </c>
      <c r="L87" s="34"/>
      <c r="M87" s="72">
        <f>IF(K87&gt;0,COUNTIF($K$7:K87,"&gt;0"),"")</f>
        <v>66</v>
      </c>
    </row>
    <row r="88" spans="1:13" ht="30" customHeight="1" x14ac:dyDescent="0.2">
      <c r="A88" s="68" t="s">
        <v>522</v>
      </c>
      <c r="B88" s="69" t="s">
        <v>145</v>
      </c>
      <c r="C88" s="40" t="s">
        <v>523</v>
      </c>
      <c r="D88" s="33" t="s">
        <v>524</v>
      </c>
      <c r="E88" s="42" t="s">
        <v>144</v>
      </c>
      <c r="F88" s="70" t="str">
        <f t="shared" si="16"/>
        <v>Ja</v>
      </c>
      <c r="G88" s="63"/>
      <c r="H88" s="56">
        <v>5</v>
      </c>
      <c r="I88" s="63"/>
      <c r="J88" s="63"/>
      <c r="K88" s="71">
        <f t="shared" si="17"/>
        <v>5</v>
      </c>
      <c r="L88" s="34"/>
      <c r="M88" s="72">
        <f>IF(K88&gt;0,COUNTIF($K$7:K88,"&gt;0"),"")</f>
        <v>67</v>
      </c>
    </row>
    <row r="89" spans="1:13" ht="16.5" customHeight="1" x14ac:dyDescent="0.2">
      <c r="A89" s="68" t="s">
        <v>525</v>
      </c>
      <c r="B89" s="69" t="s">
        <v>145</v>
      </c>
      <c r="C89" s="40" t="s">
        <v>526</v>
      </c>
      <c r="D89" s="33" t="s">
        <v>527</v>
      </c>
      <c r="E89" s="42" t="s">
        <v>144</v>
      </c>
      <c r="F89" s="70" t="str">
        <f t="shared" si="16"/>
        <v>Ja</v>
      </c>
      <c r="G89" s="63"/>
      <c r="H89" s="56">
        <v>3</v>
      </c>
      <c r="I89" s="63"/>
      <c r="J89" s="63"/>
      <c r="K89" s="71">
        <f t="shared" si="17"/>
        <v>3</v>
      </c>
      <c r="L89" s="34"/>
      <c r="M89" s="72">
        <f>IF(K89&gt;0,COUNTIF($K$7:K89,"&gt;0"),"")</f>
        <v>68</v>
      </c>
    </row>
    <row r="90" spans="1:13" ht="30" customHeight="1" x14ac:dyDescent="0.2">
      <c r="A90" s="68" t="s">
        <v>528</v>
      </c>
      <c r="B90" s="69" t="s">
        <v>145</v>
      </c>
      <c r="C90" s="40" t="s">
        <v>529</v>
      </c>
      <c r="D90" s="33" t="s">
        <v>530</v>
      </c>
      <c r="E90" s="42" t="s">
        <v>144</v>
      </c>
      <c r="F90" s="70" t="str">
        <f t="shared" si="16"/>
        <v>Ja</v>
      </c>
      <c r="G90" s="63"/>
      <c r="H90" s="56">
        <v>5</v>
      </c>
      <c r="I90" s="63"/>
      <c r="J90" s="63"/>
      <c r="K90" s="71">
        <f t="shared" si="17"/>
        <v>5</v>
      </c>
      <c r="L90" s="34"/>
      <c r="M90" s="72">
        <f>IF(K90&gt;0,COUNTIF($K$7:K90,"&gt;0"),"")</f>
        <v>69</v>
      </c>
    </row>
    <row r="91" spans="1:13" ht="30" customHeight="1" x14ac:dyDescent="0.2">
      <c r="A91" s="68" t="s">
        <v>531</v>
      </c>
      <c r="B91" s="69" t="s">
        <v>145</v>
      </c>
      <c r="C91" s="40" t="s">
        <v>532</v>
      </c>
      <c r="D91" s="33" t="s">
        <v>533</v>
      </c>
      <c r="E91" s="42" t="s">
        <v>144</v>
      </c>
      <c r="F91" s="70" t="str">
        <f t="shared" si="16"/>
        <v>Ja</v>
      </c>
      <c r="G91" s="63"/>
      <c r="H91" s="56">
        <v>3</v>
      </c>
      <c r="I91" s="63"/>
      <c r="J91" s="63"/>
      <c r="K91" s="71">
        <f t="shared" si="17"/>
        <v>3</v>
      </c>
      <c r="L91" s="34"/>
      <c r="M91" s="72">
        <f>IF(K91&gt;0,COUNTIF($K$7:K91,"&gt;0"),"")</f>
        <v>70</v>
      </c>
    </row>
    <row r="92" spans="1:13" ht="30" customHeight="1" x14ac:dyDescent="0.2">
      <c r="A92" s="68" t="s">
        <v>534</v>
      </c>
      <c r="B92" s="69" t="s">
        <v>145</v>
      </c>
      <c r="C92" s="40" t="s">
        <v>535</v>
      </c>
      <c r="D92" s="33" t="s">
        <v>536</v>
      </c>
      <c r="E92" s="42" t="s">
        <v>144</v>
      </c>
      <c r="F92" s="70" t="str">
        <f t="shared" si="16"/>
        <v>Ja</v>
      </c>
      <c r="G92" s="63"/>
      <c r="H92" s="56">
        <v>1</v>
      </c>
      <c r="I92" s="63"/>
      <c r="J92" s="63"/>
      <c r="K92" s="71">
        <f t="shared" si="17"/>
        <v>1</v>
      </c>
      <c r="L92" s="34"/>
      <c r="M92" s="72">
        <f>IF(K92&gt;0,COUNTIF($K$7:K92,"&gt;0"),"")</f>
        <v>71</v>
      </c>
    </row>
    <row r="93" spans="1:13" ht="19.5" customHeight="1" x14ac:dyDescent="0.2">
      <c r="A93" s="66" t="s">
        <v>148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</row>
    <row r="94" spans="1:13" ht="30" customHeight="1" x14ac:dyDescent="0.2">
      <c r="A94" s="68" t="s">
        <v>537</v>
      </c>
      <c r="B94" s="69" t="s">
        <v>148</v>
      </c>
      <c r="C94" s="40" t="s">
        <v>538</v>
      </c>
      <c r="D94" s="33" t="s">
        <v>539</v>
      </c>
      <c r="E94" s="42" t="s">
        <v>147</v>
      </c>
      <c r="F94" s="70" t="str">
        <f>IFERROR(VLOOKUP(E94,Bereichstabelle,3,FALSE()),"Ja")</f>
        <v>Ja</v>
      </c>
      <c r="G94" s="63"/>
      <c r="H94" s="56">
        <v>3</v>
      </c>
      <c r="I94" s="63"/>
      <c r="J94" s="63"/>
      <c r="K94" s="71">
        <f>IF(OR(C94="",IF(G94&lt;&gt;"",G94,F94)="Nein"),0,IF(J94="X",5,IF(I94="",N(H94),I94)))</f>
        <v>3</v>
      </c>
      <c r="L94" s="34"/>
      <c r="M94" s="72">
        <f>IF(K94&gt;0,COUNTIF($K$7:K94,"&gt;0"),"")</f>
        <v>72</v>
      </c>
    </row>
    <row r="95" spans="1:13" ht="30" customHeight="1" x14ac:dyDescent="0.2">
      <c r="A95" s="68" t="s">
        <v>540</v>
      </c>
      <c r="B95" s="69" t="s">
        <v>148</v>
      </c>
      <c r="C95" s="40" t="s">
        <v>541</v>
      </c>
      <c r="D95" s="33" t="s">
        <v>542</v>
      </c>
      <c r="E95" s="42" t="s">
        <v>147</v>
      </c>
      <c r="F95" s="70" t="str">
        <f>IFERROR(VLOOKUP(E95,Bereichstabelle,3,FALSE()),"Ja")</f>
        <v>Ja</v>
      </c>
      <c r="G95" s="63"/>
      <c r="H95" s="56">
        <v>3</v>
      </c>
      <c r="I95" s="63"/>
      <c r="J95" s="63"/>
      <c r="K95" s="71">
        <f>IF(OR(C95="",IF(G95&lt;&gt;"",G95,F95)="Nein"),0,IF(J95="X",5,IF(I95="",N(H95),I95)))</f>
        <v>3</v>
      </c>
      <c r="L95" s="34"/>
      <c r="M95" s="72">
        <f>IF(K95&gt;0,COUNTIF($K$7:K95,"&gt;0"),"")</f>
        <v>73</v>
      </c>
    </row>
    <row r="96" spans="1:13" ht="30" customHeight="1" x14ac:dyDescent="0.2">
      <c r="A96" s="68" t="s">
        <v>543</v>
      </c>
      <c r="B96" s="69" t="s">
        <v>148</v>
      </c>
      <c r="C96" s="40" t="s">
        <v>544</v>
      </c>
      <c r="D96" s="33" t="s">
        <v>545</v>
      </c>
      <c r="E96" s="42" t="s">
        <v>147</v>
      </c>
      <c r="F96" s="70" t="str">
        <f>IFERROR(VLOOKUP(E96,Bereichstabelle,3,FALSE()),"Ja")</f>
        <v>Ja</v>
      </c>
      <c r="G96" s="63"/>
      <c r="H96" s="56">
        <v>3</v>
      </c>
      <c r="I96" s="63"/>
      <c r="J96" s="63"/>
      <c r="K96" s="71">
        <f>IF(OR(C96="",IF(G96&lt;&gt;"",G96,F96)="Nein"),0,IF(J96="X",5,IF(I96="",N(H96),I96)))</f>
        <v>3</v>
      </c>
      <c r="L96" s="34"/>
      <c r="M96" s="72">
        <f>IF(K96&gt;0,COUNTIF($K$7:K96,"&gt;0"),"")</f>
        <v>74</v>
      </c>
    </row>
    <row r="97" spans="1:13" ht="30" customHeight="1" x14ac:dyDescent="0.2">
      <c r="A97" s="68" t="s">
        <v>546</v>
      </c>
      <c r="B97" s="69" t="s">
        <v>148</v>
      </c>
      <c r="C97" s="40" t="s">
        <v>547</v>
      </c>
      <c r="D97" s="33" t="s">
        <v>548</v>
      </c>
      <c r="E97" s="42" t="s">
        <v>147</v>
      </c>
      <c r="F97" s="70" t="str">
        <f>IFERROR(VLOOKUP(E97,Bereichstabelle,3,FALSE()),"Ja")</f>
        <v>Ja</v>
      </c>
      <c r="G97" s="63"/>
      <c r="H97" s="56">
        <v>3</v>
      </c>
      <c r="I97" s="63"/>
      <c r="J97" s="63"/>
      <c r="K97" s="71">
        <f>IF(OR(C97="",IF(G97&lt;&gt;"",G97,F97)="Nein"),0,IF(J97="X",5,IF(I97="",N(H97),I97)))</f>
        <v>3</v>
      </c>
      <c r="L97" s="34"/>
      <c r="M97" s="72">
        <f>IF(K97&gt;0,COUNTIF($K$7:K97,"&gt;0"),"")</f>
        <v>75</v>
      </c>
    </row>
    <row r="98" spans="1:13" ht="19.5" customHeight="1" x14ac:dyDescent="0.2">
      <c r="A98" s="66" t="s">
        <v>151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</row>
    <row r="99" spans="1:13" ht="30" customHeight="1" x14ac:dyDescent="0.2">
      <c r="A99" s="68" t="s">
        <v>549</v>
      </c>
      <c r="B99" s="69" t="s">
        <v>151</v>
      </c>
      <c r="C99" s="40" t="s">
        <v>550</v>
      </c>
      <c r="D99" s="33" t="s">
        <v>551</v>
      </c>
      <c r="E99" s="42" t="s">
        <v>150</v>
      </c>
      <c r="F99" s="70" t="str">
        <f>IFERROR(VLOOKUP(E99,Bereichstabelle,3,FALSE()),"Ja")</f>
        <v>Ja</v>
      </c>
      <c r="G99" s="63"/>
      <c r="H99" s="56">
        <v>3</v>
      </c>
      <c r="I99" s="63"/>
      <c r="J99" s="63"/>
      <c r="K99" s="71">
        <f>IF(OR(C99="",IF(G99&lt;&gt;"",G99,F99)="Nein"),0,IF(J99="X",5,IF(I99="",N(H99),I99)))</f>
        <v>3</v>
      </c>
      <c r="L99" s="34"/>
      <c r="M99" s="72">
        <f>IF(K99&gt;0,COUNTIF($K$7:K99,"&gt;0"),"")</f>
        <v>76</v>
      </c>
    </row>
    <row r="100" spans="1:13" ht="30" customHeight="1" x14ac:dyDescent="0.2">
      <c r="A100" s="68" t="s">
        <v>552</v>
      </c>
      <c r="B100" s="69" t="s">
        <v>151</v>
      </c>
      <c r="C100" s="40" t="s">
        <v>553</v>
      </c>
      <c r="D100" s="33" t="s">
        <v>554</v>
      </c>
      <c r="E100" s="42" t="s">
        <v>150</v>
      </c>
      <c r="F100" s="70" t="str">
        <f>IFERROR(VLOOKUP(E100,Bereichstabelle,3,FALSE()),"Ja")</f>
        <v>Ja</v>
      </c>
      <c r="G100" s="63"/>
      <c r="H100" s="56">
        <v>3</v>
      </c>
      <c r="I100" s="63"/>
      <c r="J100" s="63"/>
      <c r="K100" s="71">
        <f>IF(OR(C100="",IF(G100&lt;&gt;"",G100,F100)="Nein"),0,IF(J100="X",5,IF(I100="",N(H100),I100)))</f>
        <v>3</v>
      </c>
      <c r="L100" s="34"/>
      <c r="M100" s="72">
        <f>IF(K100&gt;0,COUNTIF($K$7:K100,"&gt;0"),"")</f>
        <v>77</v>
      </c>
    </row>
    <row r="101" spans="1:13" ht="16.5" customHeight="1" x14ac:dyDescent="0.2">
      <c r="A101" s="68" t="s">
        <v>555</v>
      </c>
      <c r="B101" s="69" t="s">
        <v>151</v>
      </c>
      <c r="C101" s="40" t="s">
        <v>556</v>
      </c>
      <c r="D101" s="33" t="s">
        <v>557</v>
      </c>
      <c r="E101" s="42" t="s">
        <v>150</v>
      </c>
      <c r="F101" s="70" t="str">
        <f>IFERROR(VLOOKUP(E101,Bereichstabelle,3,FALSE()),"Ja")</f>
        <v>Ja</v>
      </c>
      <c r="G101" s="63"/>
      <c r="H101" s="56">
        <v>1</v>
      </c>
      <c r="I101" s="63"/>
      <c r="J101" s="63"/>
      <c r="K101" s="71">
        <f>IF(OR(C101="",IF(G101&lt;&gt;"",G101,F101)="Nein"),0,IF(J101="X",5,IF(I101="",N(H101),I101)))</f>
        <v>1</v>
      </c>
      <c r="L101" s="34"/>
      <c r="M101" s="72">
        <f>IF(K101&gt;0,COUNTIF($K$7:K101,"&gt;0"),"")</f>
        <v>78</v>
      </c>
    </row>
    <row r="102" spans="1:13" ht="16.5" customHeight="1" x14ac:dyDescent="0.2">
      <c r="A102" s="68" t="s">
        <v>558</v>
      </c>
      <c r="B102" s="69" t="s">
        <v>151</v>
      </c>
      <c r="C102" s="40" t="s">
        <v>559</v>
      </c>
      <c r="D102" s="33" t="s">
        <v>560</v>
      </c>
      <c r="E102" s="42" t="s">
        <v>150</v>
      </c>
      <c r="F102" s="70" t="str">
        <f>IFERROR(VLOOKUP(E102,Bereichstabelle,3,FALSE()),"Ja")</f>
        <v>Ja</v>
      </c>
      <c r="G102" s="63"/>
      <c r="H102" s="56">
        <v>3</v>
      </c>
      <c r="I102" s="63"/>
      <c r="J102" s="63"/>
      <c r="K102" s="71">
        <f>IF(OR(C102="",IF(G102&lt;&gt;"",G102,F102)="Nein"),0,IF(J102="X",5,IF(I102="",N(H102),I102)))</f>
        <v>3</v>
      </c>
      <c r="L102" s="34"/>
      <c r="M102" s="72">
        <f>IF(K102&gt;0,COUNTIF($K$7:K102,"&gt;0"),"")</f>
        <v>79</v>
      </c>
    </row>
    <row r="103" spans="1:13" ht="30" customHeight="1" x14ac:dyDescent="0.2">
      <c r="A103" s="68" t="s">
        <v>561</v>
      </c>
      <c r="B103" s="69" t="s">
        <v>151</v>
      </c>
      <c r="C103" s="40" t="s">
        <v>562</v>
      </c>
      <c r="D103" s="33" t="s">
        <v>563</v>
      </c>
      <c r="E103" s="42" t="s">
        <v>150</v>
      </c>
      <c r="F103" s="70" t="str">
        <f>IFERROR(VLOOKUP(E103,Bereichstabelle,3,FALSE()),"Ja")</f>
        <v>Ja</v>
      </c>
      <c r="G103" s="63"/>
      <c r="H103" s="56">
        <v>1</v>
      </c>
      <c r="I103" s="63"/>
      <c r="J103" s="63"/>
      <c r="K103" s="71">
        <f>IF(OR(C103="",IF(G103&lt;&gt;"",G103,F103)="Nein"),0,IF(J103="X",5,IF(I103="",N(H103),I103)))</f>
        <v>1</v>
      </c>
      <c r="L103" s="34"/>
      <c r="M103" s="72">
        <f>IF(K103&gt;0,COUNTIF($K$7:K103,"&gt;0"),"")</f>
        <v>80</v>
      </c>
    </row>
    <row r="104" spans="1:13" ht="19.5" customHeight="1" x14ac:dyDescent="0.2">
      <c r="A104" s="66" t="s">
        <v>564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</row>
    <row r="105" spans="1:13" ht="16.5" customHeight="1" x14ac:dyDescent="0.2">
      <c r="A105" s="68" t="s">
        <v>565</v>
      </c>
      <c r="B105" s="69" t="s">
        <v>564</v>
      </c>
      <c r="C105" s="40" t="s">
        <v>566</v>
      </c>
      <c r="D105" s="33" t="s">
        <v>567</v>
      </c>
      <c r="E105" s="42" t="s">
        <v>123</v>
      </c>
      <c r="F105" s="70" t="str">
        <f t="shared" ref="F105:F110" si="18">IFERROR(VLOOKUP(E105,Bereichstabelle,3,FALSE()),"Ja")</f>
        <v>Ja</v>
      </c>
      <c r="G105" s="63"/>
      <c r="H105" s="56">
        <v>5</v>
      </c>
      <c r="I105" s="63"/>
      <c r="J105" s="63"/>
      <c r="K105" s="71">
        <f t="shared" ref="K105:K110" si="19">IF(OR(C105="",IF(G105&lt;&gt;"",G105,F105)="Nein"),0,IF(J105="X",5,IF(I105="",N(H105),I105)))</f>
        <v>5</v>
      </c>
      <c r="L105" s="34"/>
      <c r="M105" s="72">
        <f>IF(K105&gt;0,COUNTIF($K$7:K105,"&gt;0"),"")</f>
        <v>81</v>
      </c>
    </row>
    <row r="106" spans="1:13" ht="30" customHeight="1" x14ac:dyDescent="0.2">
      <c r="A106" s="68" t="s">
        <v>568</v>
      </c>
      <c r="B106" s="69" t="s">
        <v>564</v>
      </c>
      <c r="C106" s="40" t="s">
        <v>569</v>
      </c>
      <c r="D106" s="33" t="s">
        <v>570</v>
      </c>
      <c r="E106" s="42" t="s">
        <v>123</v>
      </c>
      <c r="F106" s="70" t="str">
        <f t="shared" si="18"/>
        <v>Ja</v>
      </c>
      <c r="G106" s="63"/>
      <c r="H106" s="56">
        <v>5</v>
      </c>
      <c r="I106" s="63"/>
      <c r="J106" s="63"/>
      <c r="K106" s="71">
        <f t="shared" si="19"/>
        <v>5</v>
      </c>
      <c r="L106" s="34"/>
      <c r="M106" s="72">
        <f>IF(K106&gt;0,COUNTIF($K$7:K106,"&gt;0"),"")</f>
        <v>82</v>
      </c>
    </row>
    <row r="107" spans="1:13" ht="16.5" customHeight="1" x14ac:dyDescent="0.2">
      <c r="A107" s="68" t="s">
        <v>571</v>
      </c>
      <c r="B107" s="69" t="s">
        <v>564</v>
      </c>
      <c r="C107" s="40" t="s">
        <v>572</v>
      </c>
      <c r="D107" s="33" t="s">
        <v>573</v>
      </c>
      <c r="E107" s="42" t="s">
        <v>123</v>
      </c>
      <c r="F107" s="70" t="str">
        <f t="shared" si="18"/>
        <v>Ja</v>
      </c>
      <c r="G107" s="63"/>
      <c r="H107" s="56">
        <v>3</v>
      </c>
      <c r="I107" s="63"/>
      <c r="J107" s="63"/>
      <c r="K107" s="71">
        <f t="shared" si="19"/>
        <v>3</v>
      </c>
      <c r="L107" s="34"/>
      <c r="M107" s="72">
        <f>IF(K107&gt;0,COUNTIF($K$7:K107,"&gt;0"),"")</f>
        <v>83</v>
      </c>
    </row>
    <row r="108" spans="1:13" ht="30" customHeight="1" x14ac:dyDescent="0.2">
      <c r="A108" s="68" t="s">
        <v>574</v>
      </c>
      <c r="B108" s="69" t="s">
        <v>564</v>
      </c>
      <c r="C108" s="40" t="s">
        <v>575</v>
      </c>
      <c r="D108" s="33" t="s">
        <v>576</v>
      </c>
      <c r="E108" s="42" t="s">
        <v>123</v>
      </c>
      <c r="F108" s="70" t="str">
        <f t="shared" si="18"/>
        <v>Ja</v>
      </c>
      <c r="G108" s="63"/>
      <c r="H108" s="56">
        <v>3</v>
      </c>
      <c r="I108" s="63"/>
      <c r="J108" s="63"/>
      <c r="K108" s="71">
        <f t="shared" si="19"/>
        <v>3</v>
      </c>
      <c r="L108" s="34"/>
      <c r="M108" s="72">
        <f>IF(K108&gt;0,COUNTIF($K$7:K108,"&gt;0"),"")</f>
        <v>84</v>
      </c>
    </row>
    <row r="109" spans="1:13" ht="30" customHeight="1" x14ac:dyDescent="0.2">
      <c r="A109" s="68" t="s">
        <v>577</v>
      </c>
      <c r="B109" s="69" t="s">
        <v>564</v>
      </c>
      <c r="C109" s="40" t="s">
        <v>578</v>
      </c>
      <c r="D109" s="33" t="s">
        <v>579</v>
      </c>
      <c r="E109" s="42" t="s">
        <v>123</v>
      </c>
      <c r="F109" s="70" t="str">
        <f t="shared" si="18"/>
        <v>Ja</v>
      </c>
      <c r="G109" s="63"/>
      <c r="H109" s="56">
        <v>3</v>
      </c>
      <c r="I109" s="63"/>
      <c r="J109" s="63"/>
      <c r="K109" s="71">
        <f t="shared" si="19"/>
        <v>3</v>
      </c>
      <c r="L109" s="34"/>
      <c r="M109" s="72">
        <f>IF(K109&gt;0,COUNTIF($K$7:K109,"&gt;0"),"")</f>
        <v>85</v>
      </c>
    </row>
    <row r="110" spans="1:13" ht="30" customHeight="1" x14ac:dyDescent="0.2">
      <c r="A110" s="68" t="s">
        <v>580</v>
      </c>
      <c r="B110" s="69" t="s">
        <v>564</v>
      </c>
      <c r="C110" s="40" t="s">
        <v>581</v>
      </c>
      <c r="D110" s="33" t="s">
        <v>582</v>
      </c>
      <c r="E110" s="42" t="s">
        <v>126</v>
      </c>
      <c r="F110" s="70" t="str">
        <f t="shared" si="18"/>
        <v>Ja</v>
      </c>
      <c r="G110" s="63"/>
      <c r="H110" s="56">
        <v>3</v>
      </c>
      <c r="I110" s="63"/>
      <c r="J110" s="63"/>
      <c r="K110" s="71">
        <f t="shared" si="19"/>
        <v>3</v>
      </c>
      <c r="L110" s="34"/>
      <c r="M110" s="72">
        <f>IF(K110&gt;0,COUNTIF($K$7:K110,"&gt;0"),"")</f>
        <v>86</v>
      </c>
    </row>
    <row r="111" spans="1:13" ht="19.5" customHeight="1" x14ac:dyDescent="0.2">
      <c r="A111" s="66" t="s">
        <v>583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</row>
    <row r="112" spans="1:13" ht="30" customHeight="1" x14ac:dyDescent="0.2">
      <c r="A112" s="68" t="s">
        <v>584</v>
      </c>
      <c r="B112" s="69" t="s">
        <v>583</v>
      </c>
      <c r="C112" s="40" t="s">
        <v>585</v>
      </c>
      <c r="D112" s="33" t="s">
        <v>586</v>
      </c>
      <c r="E112" s="42" t="s">
        <v>123</v>
      </c>
      <c r="F112" s="70" t="str">
        <f>IFERROR(VLOOKUP(E112,Bereichstabelle,3,FALSE()),"Ja")</f>
        <v>Ja</v>
      </c>
      <c r="G112" s="63"/>
      <c r="H112" s="56">
        <v>5</v>
      </c>
      <c r="I112" s="63"/>
      <c r="J112" s="63"/>
      <c r="K112" s="71">
        <f>IF(OR(C112="",IF(G112&lt;&gt;"",G112,F112)="Nein"),0,IF(J112="X",5,IF(I112="",N(H112),I112)))</f>
        <v>5</v>
      </c>
      <c r="L112" s="34"/>
      <c r="M112" s="72">
        <f>IF(K112&gt;0,COUNTIF($K$7:K112,"&gt;0"),"")</f>
        <v>87</v>
      </c>
    </row>
    <row r="113" spans="1:13" ht="30" customHeight="1" x14ac:dyDescent="0.2">
      <c r="A113" s="68" t="s">
        <v>587</v>
      </c>
      <c r="B113" s="69" t="s">
        <v>583</v>
      </c>
      <c r="C113" s="40" t="s">
        <v>588</v>
      </c>
      <c r="D113" s="33" t="s">
        <v>589</v>
      </c>
      <c r="E113" s="42" t="s">
        <v>123</v>
      </c>
      <c r="F113" s="70" t="str">
        <f>IFERROR(VLOOKUP(E113,Bereichstabelle,3,FALSE()),"Ja")</f>
        <v>Ja</v>
      </c>
      <c r="G113" s="63"/>
      <c r="H113" s="56">
        <v>5</v>
      </c>
      <c r="I113" s="63"/>
      <c r="J113" s="63"/>
      <c r="K113" s="71">
        <f>IF(OR(C113="",IF(G113&lt;&gt;"",G113,F113)="Nein"),0,IF(J113="X",5,IF(I113="",N(H113),I113)))</f>
        <v>5</v>
      </c>
      <c r="L113" s="34"/>
      <c r="M113" s="72">
        <f>IF(K113&gt;0,COUNTIF($K$7:K113,"&gt;0"),"")</f>
        <v>88</v>
      </c>
    </row>
    <row r="114" spans="1:13" ht="30" customHeight="1" x14ac:dyDescent="0.2">
      <c r="A114" s="68" t="s">
        <v>590</v>
      </c>
      <c r="B114" s="69" t="s">
        <v>583</v>
      </c>
      <c r="C114" s="40" t="s">
        <v>591</v>
      </c>
      <c r="D114" s="33" t="s">
        <v>592</v>
      </c>
      <c r="E114" s="42" t="s">
        <v>123</v>
      </c>
      <c r="F114" s="70" t="str">
        <f>IFERROR(VLOOKUP(E114,Bereichstabelle,3,FALSE()),"Ja")</f>
        <v>Ja</v>
      </c>
      <c r="G114" s="63"/>
      <c r="H114" s="56">
        <v>5</v>
      </c>
      <c r="I114" s="63"/>
      <c r="J114" s="63"/>
      <c r="K114" s="71">
        <f>IF(OR(C114="",IF(G114&lt;&gt;"",G114,F114)="Nein"),0,IF(J114="X",5,IF(I114="",N(H114),I114)))</f>
        <v>5</v>
      </c>
      <c r="L114" s="34"/>
      <c r="M114" s="72">
        <f>IF(K114&gt;0,COUNTIF($K$7:K114,"&gt;0"),"")</f>
        <v>89</v>
      </c>
    </row>
    <row r="115" spans="1:13" ht="30" customHeight="1" x14ac:dyDescent="0.2">
      <c r="A115" s="68" t="s">
        <v>593</v>
      </c>
      <c r="B115" s="69" t="s">
        <v>583</v>
      </c>
      <c r="C115" s="40" t="s">
        <v>594</v>
      </c>
      <c r="D115" s="33" t="s">
        <v>595</v>
      </c>
      <c r="E115" s="42" t="s">
        <v>123</v>
      </c>
      <c r="F115" s="70" t="str">
        <f>IFERROR(VLOOKUP(E115,Bereichstabelle,3,FALSE()),"Ja")</f>
        <v>Ja</v>
      </c>
      <c r="G115" s="63"/>
      <c r="H115" s="56">
        <v>3</v>
      </c>
      <c r="I115" s="63"/>
      <c r="J115" s="63"/>
      <c r="K115" s="71">
        <f>IF(OR(C115="",IF(G115&lt;&gt;"",G115,F115)="Nein"),0,IF(J115="X",5,IF(I115="",N(H115),I115)))</f>
        <v>3</v>
      </c>
      <c r="L115" s="34"/>
      <c r="M115" s="72">
        <f>IF(K115&gt;0,COUNTIF($K$7:K115,"&gt;0"),"")</f>
        <v>90</v>
      </c>
    </row>
    <row r="116" spans="1:13" ht="30" customHeight="1" x14ac:dyDescent="0.2">
      <c r="A116" s="68" t="s">
        <v>596</v>
      </c>
      <c r="B116" s="69" t="s">
        <v>583</v>
      </c>
      <c r="C116" s="40" t="s">
        <v>597</v>
      </c>
      <c r="D116" s="33" t="s">
        <v>598</v>
      </c>
      <c r="E116" s="42" t="s">
        <v>123</v>
      </c>
      <c r="F116" s="70" t="str">
        <f>IFERROR(VLOOKUP(E116,Bereichstabelle,3,FALSE()),"Ja")</f>
        <v>Ja</v>
      </c>
      <c r="G116" s="63"/>
      <c r="H116" s="56">
        <v>3</v>
      </c>
      <c r="I116" s="63"/>
      <c r="J116" s="63"/>
      <c r="K116" s="71">
        <f>IF(OR(C116="",IF(G116&lt;&gt;"",G116,F116)="Nein"),0,IF(J116="X",5,IF(I116="",N(H116),I116)))</f>
        <v>3</v>
      </c>
      <c r="L116" s="34"/>
      <c r="M116" s="72">
        <f>IF(K116&gt;0,COUNTIF($K$7:K116,"&gt;0"),"")</f>
        <v>91</v>
      </c>
    </row>
    <row r="117" spans="1:13" ht="19.5" customHeight="1" x14ac:dyDescent="0.2">
      <c r="A117" s="66" t="s">
        <v>599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</row>
    <row r="118" spans="1:13" ht="30" customHeight="1" x14ac:dyDescent="0.2">
      <c r="A118" s="68" t="s">
        <v>600</v>
      </c>
      <c r="B118" s="69" t="s">
        <v>599</v>
      </c>
      <c r="C118" s="40" t="s">
        <v>601</v>
      </c>
      <c r="D118" s="33" t="s">
        <v>602</v>
      </c>
      <c r="E118" s="42" t="s">
        <v>123</v>
      </c>
      <c r="F118" s="70" t="str">
        <f t="shared" ref="F118:F123" si="20">IFERROR(VLOOKUP(E118,Bereichstabelle,3,FALSE()),"Ja")</f>
        <v>Ja</v>
      </c>
      <c r="G118" s="63"/>
      <c r="H118" s="56">
        <v>5</v>
      </c>
      <c r="I118" s="63"/>
      <c r="J118" s="63"/>
      <c r="K118" s="71">
        <f t="shared" ref="K118:K123" si="21">IF(OR(C118="",IF(G118&lt;&gt;"",G118,F118)="Nein"),0,IF(J118="X",5,IF(I118="",N(H118),I118)))</f>
        <v>5</v>
      </c>
      <c r="L118" s="34"/>
      <c r="M118" s="72">
        <f>IF(K118&gt;0,COUNTIF($K$7:K118,"&gt;0"),"")</f>
        <v>92</v>
      </c>
    </row>
    <row r="119" spans="1:13" ht="30" customHeight="1" x14ac:dyDescent="0.2">
      <c r="A119" s="68" t="s">
        <v>603</v>
      </c>
      <c r="B119" s="69" t="s">
        <v>599</v>
      </c>
      <c r="C119" s="40" t="s">
        <v>604</v>
      </c>
      <c r="D119" s="33" t="s">
        <v>605</v>
      </c>
      <c r="E119" s="42" t="s">
        <v>123</v>
      </c>
      <c r="F119" s="70" t="str">
        <f t="shared" si="20"/>
        <v>Ja</v>
      </c>
      <c r="G119" s="63"/>
      <c r="H119" s="56">
        <v>5</v>
      </c>
      <c r="I119" s="63"/>
      <c r="J119" s="63"/>
      <c r="K119" s="71">
        <f t="shared" si="21"/>
        <v>5</v>
      </c>
      <c r="L119" s="34"/>
      <c r="M119" s="72">
        <f>IF(K119&gt;0,COUNTIF($K$7:K119,"&gt;0"),"")</f>
        <v>93</v>
      </c>
    </row>
    <row r="120" spans="1:13" ht="30" customHeight="1" x14ac:dyDescent="0.2">
      <c r="A120" s="68" t="s">
        <v>606</v>
      </c>
      <c r="B120" s="69" t="s">
        <v>599</v>
      </c>
      <c r="C120" s="40" t="s">
        <v>607</v>
      </c>
      <c r="D120" s="33" t="s">
        <v>608</v>
      </c>
      <c r="E120" s="42" t="s">
        <v>123</v>
      </c>
      <c r="F120" s="70" t="str">
        <f t="shared" si="20"/>
        <v>Ja</v>
      </c>
      <c r="G120" s="63"/>
      <c r="H120" s="56">
        <v>3</v>
      </c>
      <c r="I120" s="63"/>
      <c r="J120" s="63"/>
      <c r="K120" s="71">
        <f t="shared" si="21"/>
        <v>3</v>
      </c>
      <c r="L120" s="34"/>
      <c r="M120" s="72">
        <f>IF(K120&gt;0,COUNTIF($K$7:K120,"&gt;0"),"")</f>
        <v>94</v>
      </c>
    </row>
    <row r="121" spans="1:13" ht="16.5" customHeight="1" x14ac:dyDescent="0.2">
      <c r="A121" s="68" t="s">
        <v>609</v>
      </c>
      <c r="B121" s="69" t="s">
        <v>599</v>
      </c>
      <c r="C121" s="40" t="s">
        <v>610</v>
      </c>
      <c r="D121" s="33" t="s">
        <v>611</v>
      </c>
      <c r="E121" s="42" t="s">
        <v>123</v>
      </c>
      <c r="F121" s="70" t="str">
        <f t="shared" si="20"/>
        <v>Ja</v>
      </c>
      <c r="G121" s="63"/>
      <c r="H121" s="56">
        <v>3</v>
      </c>
      <c r="I121" s="63"/>
      <c r="J121" s="63"/>
      <c r="K121" s="71">
        <f t="shared" si="21"/>
        <v>3</v>
      </c>
      <c r="L121" s="34"/>
      <c r="M121" s="72">
        <f>IF(K121&gt;0,COUNTIF($K$7:K121,"&gt;0"),"")</f>
        <v>95</v>
      </c>
    </row>
    <row r="122" spans="1:13" ht="30" customHeight="1" x14ac:dyDescent="0.2">
      <c r="A122" s="68" t="s">
        <v>612</v>
      </c>
      <c r="B122" s="69" t="s">
        <v>599</v>
      </c>
      <c r="C122" s="40" t="s">
        <v>613</v>
      </c>
      <c r="D122" s="33" t="s">
        <v>614</v>
      </c>
      <c r="E122" s="42" t="s">
        <v>123</v>
      </c>
      <c r="F122" s="70" t="str">
        <f t="shared" si="20"/>
        <v>Ja</v>
      </c>
      <c r="G122" s="63"/>
      <c r="H122" s="56">
        <v>5</v>
      </c>
      <c r="I122" s="63"/>
      <c r="J122" s="63"/>
      <c r="K122" s="71">
        <f t="shared" si="21"/>
        <v>5</v>
      </c>
      <c r="L122" s="34"/>
      <c r="M122" s="72">
        <f>IF(K122&gt;0,COUNTIF($K$7:K122,"&gt;0"),"")</f>
        <v>96</v>
      </c>
    </row>
    <row r="123" spans="1:13" ht="16.5" customHeight="1" x14ac:dyDescent="0.2">
      <c r="A123" s="68" t="s">
        <v>615</v>
      </c>
      <c r="B123" s="69" t="s">
        <v>599</v>
      </c>
      <c r="C123" s="40" t="s">
        <v>616</v>
      </c>
      <c r="D123" s="33" t="s">
        <v>617</v>
      </c>
      <c r="E123" s="42" t="s">
        <v>123</v>
      </c>
      <c r="F123" s="70" t="str">
        <f t="shared" si="20"/>
        <v>Ja</v>
      </c>
      <c r="G123" s="63"/>
      <c r="H123" s="56">
        <v>3</v>
      </c>
      <c r="I123" s="63"/>
      <c r="J123" s="63"/>
      <c r="K123" s="71">
        <f t="shared" si="21"/>
        <v>3</v>
      </c>
      <c r="L123" s="34"/>
      <c r="M123" s="72">
        <f>IF(K123&gt;0,COUNTIF($K$7:K123,"&gt;0"),"")</f>
        <v>97</v>
      </c>
    </row>
    <row r="124" spans="1:13" ht="19.5" customHeight="1" x14ac:dyDescent="0.2">
      <c r="A124" s="66" t="s">
        <v>618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</row>
    <row r="125" spans="1:13" ht="30" customHeight="1" x14ac:dyDescent="0.2">
      <c r="A125" s="68" t="s">
        <v>619</v>
      </c>
      <c r="B125" s="69" t="s">
        <v>618</v>
      </c>
      <c r="C125" s="40" t="s">
        <v>620</v>
      </c>
      <c r="D125" s="33" t="s">
        <v>621</v>
      </c>
      <c r="E125" s="42" t="s">
        <v>123</v>
      </c>
      <c r="F125" s="70" t="str">
        <f>IFERROR(VLOOKUP(E125,Bereichstabelle,3,FALSE()),"Ja")</f>
        <v>Ja</v>
      </c>
      <c r="G125" s="63"/>
      <c r="H125" s="56">
        <v>5</v>
      </c>
      <c r="I125" s="63"/>
      <c r="J125" s="63"/>
      <c r="K125" s="71">
        <f>IF(OR(C125="",IF(G125&lt;&gt;"",G125,F125)="Nein"),0,IF(J125="X",5,IF(I125="",N(H125),I125)))</f>
        <v>5</v>
      </c>
      <c r="L125" s="34"/>
      <c r="M125" s="72">
        <f>IF(K125&gt;0,COUNTIF($K$7:K125,"&gt;0"),"")</f>
        <v>98</v>
      </c>
    </row>
    <row r="126" spans="1:13" ht="16.5" customHeight="1" x14ac:dyDescent="0.2">
      <c r="A126" s="68" t="s">
        <v>622</v>
      </c>
      <c r="B126" s="69" t="s">
        <v>618</v>
      </c>
      <c r="C126" s="40" t="s">
        <v>623</v>
      </c>
      <c r="D126" s="33" t="s">
        <v>624</v>
      </c>
      <c r="E126" s="42" t="s">
        <v>123</v>
      </c>
      <c r="F126" s="70" t="str">
        <f>IFERROR(VLOOKUP(E126,Bereichstabelle,3,FALSE()),"Ja")</f>
        <v>Ja</v>
      </c>
      <c r="G126" s="63"/>
      <c r="H126" s="56">
        <v>3</v>
      </c>
      <c r="I126" s="63"/>
      <c r="J126" s="63"/>
      <c r="K126" s="71">
        <f>IF(OR(C126="",IF(G126&lt;&gt;"",G126,F126)="Nein"),0,IF(J126="X",5,IF(I126="",N(H126),I126)))</f>
        <v>3</v>
      </c>
      <c r="L126" s="34"/>
      <c r="M126" s="72">
        <f>IF(K126&gt;0,COUNTIF($K$7:K126,"&gt;0"),"")</f>
        <v>99</v>
      </c>
    </row>
    <row r="127" spans="1:13" ht="30" customHeight="1" x14ac:dyDescent="0.2">
      <c r="A127" s="68" t="s">
        <v>625</v>
      </c>
      <c r="B127" s="69" t="s">
        <v>618</v>
      </c>
      <c r="C127" s="40" t="s">
        <v>626</v>
      </c>
      <c r="D127" s="33" t="s">
        <v>627</v>
      </c>
      <c r="E127" s="42" t="s">
        <v>123</v>
      </c>
      <c r="F127" s="70" t="str">
        <f>IFERROR(VLOOKUP(E127,Bereichstabelle,3,FALSE()),"Ja")</f>
        <v>Ja</v>
      </c>
      <c r="G127" s="63"/>
      <c r="H127" s="56">
        <v>3</v>
      </c>
      <c r="I127" s="63"/>
      <c r="J127" s="63"/>
      <c r="K127" s="71">
        <f>IF(OR(C127="",IF(G127&lt;&gt;"",G127,F127)="Nein"),0,IF(J127="X",5,IF(I127="",N(H127),I127)))</f>
        <v>3</v>
      </c>
      <c r="L127" s="34"/>
      <c r="M127" s="72">
        <f>IF(K127&gt;0,COUNTIF($K$7:K127,"&gt;0"),"")</f>
        <v>100</v>
      </c>
    </row>
    <row r="128" spans="1:13" ht="30" customHeight="1" x14ac:dyDescent="0.2">
      <c r="A128" s="68" t="s">
        <v>628</v>
      </c>
      <c r="B128" s="69" t="s">
        <v>618</v>
      </c>
      <c r="C128" s="40" t="s">
        <v>629</v>
      </c>
      <c r="D128" s="33" t="s">
        <v>630</v>
      </c>
      <c r="E128" s="42" t="s">
        <v>123</v>
      </c>
      <c r="F128" s="70" t="str">
        <f>IFERROR(VLOOKUP(E128,Bereichstabelle,3,FALSE()),"Ja")</f>
        <v>Ja</v>
      </c>
      <c r="G128" s="63"/>
      <c r="H128" s="56">
        <v>1</v>
      </c>
      <c r="I128" s="63"/>
      <c r="J128" s="63"/>
      <c r="K128" s="71">
        <f>IF(OR(C128="",IF(G128&lt;&gt;"",G128,F128)="Nein"),0,IF(J128="X",5,IF(I128="",N(H128),I128)))</f>
        <v>1</v>
      </c>
      <c r="L128" s="34"/>
      <c r="M128" s="72">
        <f>IF(K128&gt;0,COUNTIF($K$7:K128,"&gt;0"),"")</f>
        <v>101</v>
      </c>
    </row>
    <row r="129" spans="1:13" ht="16.5" customHeight="1" x14ac:dyDescent="0.2">
      <c r="A129" s="68" t="s">
        <v>631</v>
      </c>
      <c r="B129" s="69" t="s">
        <v>618</v>
      </c>
      <c r="C129" s="40" t="s">
        <v>632</v>
      </c>
      <c r="D129" s="33" t="s">
        <v>633</v>
      </c>
      <c r="E129" s="42" t="s">
        <v>123</v>
      </c>
      <c r="F129" s="70" t="str">
        <f>IFERROR(VLOOKUP(E129,Bereichstabelle,3,FALSE()),"Ja")</f>
        <v>Ja</v>
      </c>
      <c r="G129" s="63"/>
      <c r="H129" s="56">
        <v>3</v>
      </c>
      <c r="I129" s="63"/>
      <c r="J129" s="63"/>
      <c r="K129" s="71">
        <f>IF(OR(C129="",IF(G129&lt;&gt;"",G129,F129)="Nein"),0,IF(J129="X",5,IF(I129="",N(H129),I129)))</f>
        <v>3</v>
      </c>
      <c r="L129" s="34"/>
      <c r="M129" s="72">
        <f>IF(K129&gt;0,COUNTIF($K$7:K129,"&gt;0"),"")</f>
        <v>102</v>
      </c>
    </row>
    <row r="130" spans="1:13" ht="19.5" customHeight="1" x14ac:dyDescent="0.2">
      <c r="A130" s="66" t="s">
        <v>634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</row>
    <row r="131" spans="1:13" ht="18" customHeight="1" x14ac:dyDescent="0.2">
      <c r="A131" s="68" t="s">
        <v>635</v>
      </c>
      <c r="B131" s="69" t="s">
        <v>634</v>
      </c>
      <c r="C131" s="34"/>
      <c r="D131" s="34"/>
      <c r="E131" s="42" t="s">
        <v>123</v>
      </c>
      <c r="F131" s="70" t="str">
        <f>IFERROR(VLOOKUP(E131,Bereichstabelle,3,FALSE()),"Ja")</f>
        <v>Ja</v>
      </c>
      <c r="G131" s="63"/>
      <c r="H131" s="73"/>
      <c r="I131" s="63"/>
      <c r="J131" s="63"/>
      <c r="K131" s="71">
        <f>IF(OR(C131="",IF(G131&lt;&gt;"",G131,F131)="Nein"),0,IF(J131="X",5,IF(I131="",N(H131),I131)))</f>
        <v>0</v>
      </c>
      <c r="L131" s="34"/>
      <c r="M131" s="72" t="str">
        <f>IF(K131&gt;0,COUNTIF($K$7:K131,"&gt;0"),"")</f>
        <v/>
      </c>
    </row>
    <row r="132" spans="1:13" ht="18" customHeight="1" x14ac:dyDescent="0.2">
      <c r="A132" s="68" t="s">
        <v>636</v>
      </c>
      <c r="B132" s="69" t="s">
        <v>634</v>
      </c>
      <c r="C132" s="34"/>
      <c r="D132" s="34"/>
      <c r="E132" s="42" t="s">
        <v>123</v>
      </c>
      <c r="F132" s="70" t="str">
        <f>IFERROR(VLOOKUP(E132,Bereichstabelle,3,FALSE()),"Ja")</f>
        <v>Ja</v>
      </c>
      <c r="G132" s="63"/>
      <c r="H132" s="73"/>
      <c r="I132" s="63"/>
      <c r="J132" s="63"/>
      <c r="K132" s="71">
        <f>IF(OR(C132="",IF(G132&lt;&gt;"",G132,F132)="Nein"),0,IF(J132="X",5,IF(I132="",N(H132),I132)))</f>
        <v>0</v>
      </c>
      <c r="L132" s="34"/>
      <c r="M132" s="72" t="str">
        <f>IF(K132&gt;0,COUNTIF($K$7:K132,"&gt;0"),"")</f>
        <v/>
      </c>
    </row>
    <row r="133" spans="1:13" ht="18" customHeight="1" x14ac:dyDescent="0.2">
      <c r="A133" s="68" t="s">
        <v>637</v>
      </c>
      <c r="B133" s="69" t="s">
        <v>634</v>
      </c>
      <c r="C133" s="34"/>
      <c r="D133" s="34"/>
      <c r="E133" s="42" t="s">
        <v>123</v>
      </c>
      <c r="F133" s="70" t="str">
        <f>IFERROR(VLOOKUP(E133,Bereichstabelle,3,FALSE()),"Ja")</f>
        <v>Ja</v>
      </c>
      <c r="G133" s="63"/>
      <c r="H133" s="73"/>
      <c r="I133" s="63"/>
      <c r="J133" s="63"/>
      <c r="K133" s="71">
        <f>IF(OR(C133="",IF(G133&lt;&gt;"",G133,F133)="Nein"),0,IF(J133="X",5,IF(I133="",N(H133),I133)))</f>
        <v>0</v>
      </c>
      <c r="L133" s="34"/>
      <c r="M133" s="72" t="str">
        <f>IF(K133&gt;0,COUNTIF($K$7:K133,"&gt;0"),"")</f>
        <v/>
      </c>
    </row>
    <row r="134" spans="1:13" ht="18" customHeight="1" x14ac:dyDescent="0.2">
      <c r="A134" s="68" t="s">
        <v>638</v>
      </c>
      <c r="B134" s="69" t="s">
        <v>634</v>
      </c>
      <c r="C134" s="34"/>
      <c r="D134" s="34"/>
      <c r="E134" s="42" t="s">
        <v>123</v>
      </c>
      <c r="F134" s="70" t="str">
        <f>IFERROR(VLOOKUP(E134,Bereichstabelle,3,FALSE()),"Ja")</f>
        <v>Ja</v>
      </c>
      <c r="G134" s="63"/>
      <c r="H134" s="73"/>
      <c r="I134" s="63"/>
      <c r="J134" s="63"/>
      <c r="K134" s="71">
        <f>IF(OR(C134="",IF(G134&lt;&gt;"",G134,F134)="Nein"),0,IF(J134="X",5,IF(I134="",N(H134),I134)))</f>
        <v>0</v>
      </c>
      <c r="L134" s="34"/>
      <c r="M134" s="72" t="str">
        <f>IF(K134&gt;0,COUNTIF($K$7:K134,"&gt;0"),"")</f>
        <v/>
      </c>
    </row>
    <row r="135" spans="1:13" ht="18" customHeight="1" x14ac:dyDescent="0.2">
      <c r="A135" s="68" t="s">
        <v>639</v>
      </c>
      <c r="B135" s="69" t="s">
        <v>634</v>
      </c>
      <c r="C135" s="34"/>
      <c r="D135" s="34"/>
      <c r="E135" s="42" t="s">
        <v>123</v>
      </c>
      <c r="F135" s="70" t="str">
        <f>IFERROR(VLOOKUP(E135,Bereichstabelle,3,FALSE()),"Ja")</f>
        <v>Ja</v>
      </c>
      <c r="G135" s="63"/>
      <c r="H135" s="73"/>
      <c r="I135" s="63"/>
      <c r="J135" s="63"/>
      <c r="K135" s="71">
        <f>IF(OR(C135="",IF(G135&lt;&gt;"",G135,F135)="Nein"),0,IF(J135="X",5,IF(I135="",N(H135),I135)))</f>
        <v>0</v>
      </c>
      <c r="L135" s="34"/>
      <c r="M135" s="72" t="str">
        <f>IF(K135&gt;0,COUNTIF($K$7:K135,"&gt;0"),"")</f>
        <v/>
      </c>
    </row>
  </sheetData>
  <autoFilter ref="A6:L135" xr:uid="{00000000-0009-0000-0000-000004000000}"/>
  <conditionalFormatting sqref="A7:L135">
    <cfRule type="expression" dxfId="36" priority="2">
      <formula>AND($E7&lt;&gt;"",$K7=0)</formula>
    </cfRule>
  </conditionalFormatting>
  <conditionalFormatting sqref="F7:F135">
    <cfRule type="expression" dxfId="35" priority="4">
      <formula>F7="Ja"</formula>
    </cfRule>
  </conditionalFormatting>
  <conditionalFormatting sqref="J7:K135">
    <cfRule type="expression" dxfId="34" priority="3">
      <formula>AND($J7="X",$K7&gt;0)</formula>
    </cfRule>
  </conditionalFormatting>
  <pageMargins left="0.4" right="0.4" top="0.5" bottom="0.5" header="0.511811023622047" footer="0.5"/>
  <pageSetup paperSize="9" fitToHeight="0" orientation="landscape" horizontalDpi="300" verticalDpi="300"/>
  <headerFooter>
    <oddFooter>&amp;L&amp;8 Dr. Koch · System-Check Software-Evaluation&amp;R&amp;8 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errorTitle="Ungültiger Wert" error="Bitte einen Wert aus der Liste wählen." prompt="Leer lassen = automatisch. Ja/Nein übersteuert die Automatik." xr:uid="{00000000-0002-0000-0400-000000000000}">
          <x14:formula1>
            <xm:f>Listen!$A$2:$A$3</xm:f>
          </x14:formula1>
          <x14:formula2>
            <xm:f>0</xm:f>
          </x14:formula2>
          <xm:sqref>G7:G135</xm:sqref>
        </x14:dataValidation>
        <x14:dataValidation type="list" allowBlank="1" showInputMessage="1" errorTitle="Ungültiger Wert" error="Bitte einen Wert aus der Liste wählen." prompt="1 = wenig wichtig, 3 = wichtig, 5 = sehr wichtig. Leer = Richtwert." xr:uid="{00000000-0002-0000-0400-000001000000}">
          <x14:formula1>
            <xm:f>Listen!$I$2:$I$4</xm:f>
          </x14:formula1>
          <x14:formula2>
            <xm:f>0</xm:f>
          </x14:formula2>
          <xm:sqref>I7:I135</xm:sqref>
        </x14:dataValidation>
        <x14:dataValidation type="list" allowBlank="1" showInputMessage="1" errorTitle="Ungültiger Wert" error="Bitte einen Wert aus der Liste wählen." prompt="X = Muss-Kriterium" xr:uid="{00000000-0002-0000-0400-000002000000}">
          <x14:formula1>
            <xm:f>Listen!$K$2:$K$2</xm:f>
          </x14:formula1>
          <x14:formula2>
            <xm:f>0</xm:f>
          </x14:formula2>
          <xm:sqref>J7:J135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3D36"/>
    <pageSetUpPr fitToPage="1"/>
  </sheetPr>
  <dimension ref="B1:I122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8.6640625" defaultRowHeight="15" x14ac:dyDescent="0.2"/>
  <cols>
    <col min="1" max="1" width="2" customWidth="1"/>
    <col min="2" max="2" width="7" customWidth="1"/>
    <col min="3" max="3" width="22" customWidth="1"/>
    <col min="4" max="4" width="28" customWidth="1"/>
    <col min="5" max="5" width="58" customWidth="1"/>
    <col min="6" max="6" width="8" customWidth="1"/>
    <col min="7" max="7" width="15" customWidth="1"/>
    <col min="8" max="8" width="34" customWidth="1"/>
    <col min="9" max="9" width="12" customWidth="1"/>
  </cols>
  <sheetData>
    <row r="1" spans="2:9" ht="30" customHeight="1" x14ac:dyDescent="0.25">
      <c r="B1" s="31" t="s">
        <v>640</v>
      </c>
    </row>
    <row r="2" spans="2:9" x14ac:dyDescent="0.2">
      <c r="B2" s="6" t="s">
        <v>641</v>
      </c>
      <c r="C2" s="6"/>
      <c r="D2" s="5" t="str">
        <f>IF(Betrieb="","[Name des Betriebs in Blatt 1 eintragen]",Betrieb)</f>
        <v>[Name des Betriebs in Blatt 1 eintragen]</v>
      </c>
      <c r="E2" s="5"/>
    </row>
    <row r="3" spans="2:9" x14ac:dyDescent="0.2">
      <c r="B3" s="6" t="s">
        <v>642</v>
      </c>
      <c r="C3" s="6"/>
      <c r="D3" s="5" t="str">
        <f>FokusEff</f>
        <v>Gesamtlösung (mehrere Bereiche)</v>
      </c>
      <c r="E3" s="5"/>
    </row>
    <row r="4" spans="2:9" x14ac:dyDescent="0.2">
      <c r="B4" s="6" t="s">
        <v>57</v>
      </c>
      <c r="C4" s="6"/>
      <c r="D4" s="5" t="str">
        <f>IF(Betriebstyp="","",Betriebstyp)</f>
        <v/>
      </c>
      <c r="E4" s="5"/>
    </row>
    <row r="5" spans="2:9" x14ac:dyDescent="0.2">
      <c r="B5" s="6" t="s">
        <v>643</v>
      </c>
      <c r="C5" s="6"/>
      <c r="D5" s="5" t="str">
        <f>IF(AND(Sitzplaetze="",Standorte="",Mitarbeitende=""),"",Sitzplaetze&amp;" Sitzplätze · "&amp;Standorte&amp;" Standort(e) · "&amp;Mitarbeitende&amp;" Mitarbeitende")</f>
        <v/>
      </c>
      <c r="E5" s="5"/>
    </row>
    <row r="6" spans="2:9" x14ac:dyDescent="0.2">
      <c r="B6" s="6" t="s">
        <v>644</v>
      </c>
      <c r="C6" s="6"/>
      <c r="D6" s="75"/>
    </row>
    <row r="7" spans="2:9" ht="31.5" customHeight="1" x14ac:dyDescent="0.2">
      <c r="B7" s="4" t="s">
        <v>645</v>
      </c>
      <c r="C7" s="4"/>
      <c r="D7" s="4"/>
      <c r="E7" s="4"/>
      <c r="F7" s="4"/>
      <c r="G7" s="4"/>
      <c r="H7" s="4"/>
      <c r="I7" s="4"/>
    </row>
    <row r="9" spans="2:9" ht="39.75" customHeight="1" x14ac:dyDescent="0.2">
      <c r="B9" s="18" t="s">
        <v>49</v>
      </c>
      <c r="C9" s="18" t="s">
        <v>298</v>
      </c>
      <c r="D9" s="18" t="s">
        <v>299</v>
      </c>
      <c r="E9" s="18" t="s">
        <v>50</v>
      </c>
      <c r="F9" s="18" t="s">
        <v>646</v>
      </c>
      <c r="G9" s="18" t="s">
        <v>647</v>
      </c>
      <c r="H9" s="18" t="s">
        <v>648</v>
      </c>
      <c r="I9" s="18" t="s">
        <v>649</v>
      </c>
    </row>
    <row r="10" spans="2:9" ht="39.75" customHeight="1" x14ac:dyDescent="0.2">
      <c r="B10" s="76" t="str">
        <f>IFERROR(INDEX('4 Kriterien'!$A$7:$A$135,MATCH(1,'4 Kriterien'!$M$7:$M$135,0))&amp;"","")</f>
        <v>A01</v>
      </c>
      <c r="C10" s="28" t="str">
        <f>IFERROR(INDEX('4 Kriterien'!$B$7:$B$135,MATCH(1,'4 Kriterien'!$M$7:$M$135,0))&amp;"","")</f>
        <v>Allgemein &amp; Bedienung</v>
      </c>
      <c r="D10" s="77" t="str">
        <f>IFERROR(INDEX('4 Kriterien'!$C$7:$C$135,MATCH(1,'4 Kriterien'!$M$7:$M$135,0))&amp;"","")</f>
        <v>Einfache Bedienung</v>
      </c>
      <c r="E10" s="60" t="str">
        <f>IFERROR(INDEX('4 Kriterien'!$D$7:$D$135,MATCH(1,'4 Kriterien'!$M$7:$M$135,0))&amp;"","")</f>
        <v>Kann eine neue Aushilfe die Grundfunktionen nach 15 Minuten Einführung bedienen? Demo mit einem typischen Ablauf aus dem Betrieb zeigen lassen.</v>
      </c>
      <c r="F10" s="78" t="str">
        <f>IF(IFERROR(INDEX('4 Kriterien'!$J$7:$J$135,MATCH(1,'4 Kriterien'!$M$7:$M$135,0))&amp;"","")="X","Muss","")</f>
        <v/>
      </c>
      <c r="G10" s="79"/>
      <c r="H10" s="79"/>
      <c r="I10" s="80"/>
    </row>
    <row r="11" spans="2:9" ht="39.75" customHeight="1" x14ac:dyDescent="0.2">
      <c r="B11" s="76" t="str">
        <f>IFERROR(INDEX('4 Kriterien'!$A$7:$A$135,MATCH(2,'4 Kriterien'!$M$7:$M$135,0))&amp;"","")</f>
        <v>A02</v>
      </c>
      <c r="C11" s="28" t="str">
        <f>IFERROR(INDEX('4 Kriterien'!$B$7:$B$135,MATCH(2,'4 Kriterien'!$M$7:$M$135,0))&amp;"","")</f>
        <v>Allgemein &amp; Bedienung</v>
      </c>
      <c r="D11" s="77" t="str">
        <f>IFERROR(INDEX('4 Kriterien'!$C$7:$C$135,MATCH(2,'4 Kriterien'!$M$7:$M$135,0))&amp;"","")</f>
        <v>Tempo im Stossbetrieb</v>
      </c>
      <c r="E11" s="60" t="str">
        <f>IFERROR(INDEX('4 Kriterien'!$D$7:$D$135,MATCH(2,'4 Kriterien'!$M$7:$M$135,0))&amp;"","")</f>
        <v>Wie viele Klicks braucht ein Standardvorgang? Bleibt das System schnell, wenn viele Geräte gleichzeitig arbeiten?</v>
      </c>
      <c r="F11" s="78" t="str">
        <f>IF(IFERROR(INDEX('4 Kriterien'!$J$7:$J$135,MATCH(2,'4 Kriterien'!$M$7:$M$135,0))&amp;"","")="X","Muss","")</f>
        <v/>
      </c>
      <c r="G11" s="79"/>
      <c r="H11" s="79"/>
      <c r="I11" s="80"/>
    </row>
    <row r="12" spans="2:9" ht="39.75" customHeight="1" x14ac:dyDescent="0.2">
      <c r="B12" s="76" t="str">
        <f>IFERROR(INDEX('4 Kriterien'!$A$7:$A$135,MATCH(3,'4 Kriterien'!$M$7:$M$135,0))&amp;"","")</f>
        <v>A03</v>
      </c>
      <c r="C12" s="28" t="str">
        <f>IFERROR(INDEX('4 Kriterien'!$B$7:$B$135,MATCH(3,'4 Kriterien'!$M$7:$M$135,0))&amp;"","")</f>
        <v>Allgemein &amp; Bedienung</v>
      </c>
      <c r="D12" s="77" t="str">
        <f>IFERROR(INDEX('4 Kriterien'!$C$7:$C$135,MATCH(3,'4 Kriterien'!$M$7:$M$135,0))&amp;"","")</f>
        <v>Geräte &amp; Betriebssysteme</v>
      </c>
      <c r="E12" s="60" t="str">
        <f>IFERROR(INDEX('4 Kriterien'!$D$7:$D$135,MATCH(3,'4 Kriterien'!$M$7:$M$135,0))&amp;"","")</f>
        <v>Läuft die Lösung auf den vorhandenen Geräten (Windows, macOS, iOS, Android)? Welche Hardware muss neu gekauft werden?</v>
      </c>
      <c r="F12" s="78" t="str">
        <f>IF(IFERROR(INDEX('4 Kriterien'!$J$7:$J$135,MATCH(3,'4 Kriterien'!$M$7:$M$135,0))&amp;"","")="X","Muss","")</f>
        <v/>
      </c>
      <c r="G12" s="79"/>
      <c r="H12" s="79"/>
      <c r="I12" s="80"/>
    </row>
    <row r="13" spans="2:9" ht="39.75" customHeight="1" x14ac:dyDescent="0.2">
      <c r="B13" s="76" t="str">
        <f>IFERROR(INDEX('4 Kriterien'!$A$7:$A$135,MATCH(4,'4 Kriterien'!$M$7:$M$135,0))&amp;"","")</f>
        <v>A04</v>
      </c>
      <c r="C13" s="28" t="str">
        <f>IFERROR(INDEX('4 Kriterien'!$B$7:$B$135,MATCH(4,'4 Kriterien'!$M$7:$M$135,0))&amp;"","")</f>
        <v>Allgemein &amp; Bedienung</v>
      </c>
      <c r="D13" s="77" t="str">
        <f>IFERROR(INDEX('4 Kriterien'!$C$7:$C$135,MATCH(4,'4 Kriterien'!$M$7:$M$135,0))&amp;"","")</f>
        <v>Mobile Nutzung</v>
      </c>
      <c r="E13" s="60" t="str">
        <f>IFERROR(INDEX('4 Kriterien'!$D$7:$D$135,MATCH(4,'4 Kriterien'!$M$7:$M$135,0))&amp;"","")</f>
        <v>Gibt es eine App oder mobile Ansicht für unterwegs, z. B. für Umsatz, Dienstplan oder Reservationen?</v>
      </c>
      <c r="F13" s="78" t="str">
        <f>IF(IFERROR(INDEX('4 Kriterien'!$J$7:$J$135,MATCH(4,'4 Kriterien'!$M$7:$M$135,0))&amp;"","")="X","Muss","")</f>
        <v/>
      </c>
      <c r="G13" s="79"/>
      <c r="H13" s="79"/>
      <c r="I13" s="80"/>
    </row>
    <row r="14" spans="2:9" ht="39.75" customHeight="1" x14ac:dyDescent="0.2">
      <c r="B14" s="76" t="str">
        <f>IFERROR(INDEX('4 Kriterien'!$A$7:$A$135,MATCH(5,'4 Kriterien'!$M$7:$M$135,0))&amp;"","")</f>
        <v>A05</v>
      </c>
      <c r="C14" s="28" t="str">
        <f>IFERROR(INDEX('4 Kriterien'!$B$7:$B$135,MATCH(5,'4 Kriterien'!$M$7:$M$135,0))&amp;"","")</f>
        <v>Allgemein &amp; Bedienung</v>
      </c>
      <c r="D14" s="77" t="str">
        <f>IFERROR(INDEX('4 Kriterien'!$C$7:$C$135,MATCH(5,'4 Kriterien'!$M$7:$M$135,0))&amp;"","")</f>
        <v>Cloud oder lokale Installation</v>
      </c>
      <c r="E14" s="60" t="str">
        <f>IFERROR(INDEX('4 Kriterien'!$D$7:$D$135,MATCH(5,'4 Kriterien'!$M$7:$M$135,0))&amp;"","")</f>
        <v>Läuft die Lösung in der Cloud (SaaS), lokal oder hybrid? Was muss vor Ort installiert und gewartet werden?</v>
      </c>
      <c r="F14" s="78" t="str">
        <f>IF(IFERROR(INDEX('4 Kriterien'!$J$7:$J$135,MATCH(5,'4 Kriterien'!$M$7:$M$135,0))&amp;"","")="X","Muss","")</f>
        <v/>
      </c>
      <c r="G14" s="79"/>
      <c r="H14" s="79"/>
      <c r="I14" s="80"/>
    </row>
    <row r="15" spans="2:9" ht="39.75" customHeight="1" x14ac:dyDescent="0.2">
      <c r="B15" s="76" t="str">
        <f>IFERROR(INDEX('4 Kriterien'!$A$7:$A$135,MATCH(6,'4 Kriterien'!$M$7:$M$135,0))&amp;"","")</f>
        <v>A06</v>
      </c>
      <c r="C15" s="28" t="str">
        <f>IFERROR(INDEX('4 Kriterien'!$B$7:$B$135,MATCH(6,'4 Kriterien'!$M$7:$M$135,0))&amp;"","")</f>
        <v>Allgemein &amp; Bedienung</v>
      </c>
      <c r="D15" s="77" t="str">
        <f>IFERROR(INDEX('4 Kriterien'!$C$7:$C$135,MATCH(6,'4 Kriterien'!$M$7:$M$135,0))&amp;"","")</f>
        <v>Ausfallsicherheit &amp; Offline-Modus</v>
      </c>
      <c r="E15" s="60" t="str">
        <f>IFERROR(INDEX('4 Kriterien'!$D$7:$D$135,MATCH(6,'4 Kriterien'!$M$7:$M$135,0))&amp;"","")</f>
        <v>Was passiert bei Internet- oder Stromausfall? Wie lange läuft der Betrieb offline weiter und wie werden die Daten danach nachgeführt?</v>
      </c>
      <c r="F15" s="78" t="str">
        <f>IF(IFERROR(INDEX('4 Kriterien'!$J$7:$J$135,MATCH(6,'4 Kriterien'!$M$7:$M$135,0))&amp;"","")="X","Muss","")</f>
        <v/>
      </c>
      <c r="G15" s="79"/>
      <c r="H15" s="79"/>
      <c r="I15" s="80"/>
    </row>
    <row r="16" spans="2:9" ht="39.75" customHeight="1" x14ac:dyDescent="0.2">
      <c r="B16" s="76" t="str">
        <f>IFERROR(INDEX('4 Kriterien'!$A$7:$A$135,MATCH(7,'4 Kriterien'!$M$7:$M$135,0))&amp;"","")</f>
        <v>A07</v>
      </c>
      <c r="C16" s="28" t="str">
        <f>IFERROR(INDEX('4 Kriterien'!$B$7:$B$135,MATCH(7,'4 Kriterien'!$M$7:$M$135,0))&amp;"","")</f>
        <v>Allgemein &amp; Bedienung</v>
      </c>
      <c r="D16" s="77" t="str">
        <f>IFERROR(INDEX('4 Kriterien'!$C$7:$C$135,MATCH(7,'4 Kriterien'!$M$7:$M$135,0))&amp;"","")</f>
        <v>Sprachen</v>
      </c>
      <c r="E16" s="60" t="str">
        <f>IFERROR(INDEX('4 Kriterien'!$D$7:$D$135,MATCH(7,'4 Kriterien'!$M$7:$M$135,0))&amp;"","")</f>
        <v>Sind Oberfläche und Belege in den benötigten Sprachen verfügbar (DE, FR, IT, EN)? Ist die Sprache pro Person einstellbar?</v>
      </c>
      <c r="F16" s="78" t="str">
        <f>IF(IFERROR(INDEX('4 Kriterien'!$J$7:$J$135,MATCH(7,'4 Kriterien'!$M$7:$M$135,0))&amp;"","")="X","Muss","")</f>
        <v/>
      </c>
      <c r="G16" s="79"/>
      <c r="H16" s="79"/>
      <c r="I16" s="80"/>
    </row>
    <row r="17" spans="2:9" ht="39.75" customHeight="1" x14ac:dyDescent="0.2">
      <c r="B17" s="76" t="str">
        <f>IFERROR(INDEX('4 Kriterien'!$A$7:$A$135,MATCH(8,'4 Kriterien'!$M$7:$M$135,0))&amp;"","")</f>
        <v>A08</v>
      </c>
      <c r="C17" s="28" t="str">
        <f>IFERROR(INDEX('4 Kriterien'!$B$7:$B$135,MATCH(8,'4 Kriterien'!$M$7:$M$135,0))&amp;"","")</f>
        <v>Allgemein &amp; Bedienung</v>
      </c>
      <c r="D17" s="77" t="str">
        <f>IFERROR(INDEX('4 Kriterien'!$C$7:$C$135,MATCH(8,'4 Kriterien'!$M$7:$M$135,0))&amp;"","")</f>
        <v>Anpassbarkeit</v>
      </c>
      <c r="E17" s="60" t="str">
        <f>IFERROR(INDEX('4 Kriterien'!$D$7:$D$135,MATCH(8,'4 Kriterien'!$M$7:$M$135,0))&amp;"","")</f>
        <v>Lassen sich Masken, Abläufe und Bezeichnungen ohne Programmierung an den Betrieb anpassen?</v>
      </c>
      <c r="F17" s="78" t="str">
        <f>IF(IFERROR(INDEX('4 Kriterien'!$J$7:$J$135,MATCH(8,'4 Kriterien'!$M$7:$M$135,0))&amp;"","")="X","Muss","")</f>
        <v/>
      </c>
      <c r="G17" s="79"/>
      <c r="H17" s="79"/>
      <c r="I17" s="80"/>
    </row>
    <row r="18" spans="2:9" ht="39.75" customHeight="1" x14ac:dyDescent="0.2">
      <c r="B18" s="76" t="str">
        <f>IFERROR(INDEX('4 Kriterien'!$A$7:$A$135,MATCH(9,'4 Kriterien'!$M$7:$M$135,0))&amp;"","")</f>
        <v>A09</v>
      </c>
      <c r="C18" s="28" t="str">
        <f>IFERROR(INDEX('4 Kriterien'!$B$7:$B$135,MATCH(9,'4 Kriterien'!$M$7:$M$135,0))&amp;"","")</f>
        <v>Allgemein &amp; Bedienung</v>
      </c>
      <c r="D18" s="77" t="str">
        <f>IFERROR(INDEX('4 Kriterien'!$C$7:$C$135,MATCH(9,'4 Kriterien'!$M$7:$M$135,0))&amp;"","")</f>
        <v>Skalierbarkeit</v>
      </c>
      <c r="E18" s="60" t="str">
        <f>IFERROR(INDEX('4 Kriterien'!$D$7:$D$135,MATCH(9,'4 Kriterien'!$M$7:$M$135,0))&amp;"","")</f>
        <v>Wächst die Lösung mit (mehr Plätze, Geräte, Mitarbeitende, Standorte), ohne Systemwechsel?</v>
      </c>
      <c r="F18" s="78" t="str">
        <f>IF(IFERROR(INDEX('4 Kriterien'!$J$7:$J$135,MATCH(9,'4 Kriterien'!$M$7:$M$135,0))&amp;"","")="X","Muss","")</f>
        <v/>
      </c>
      <c r="G18" s="79"/>
      <c r="H18" s="79"/>
      <c r="I18" s="80"/>
    </row>
    <row r="19" spans="2:9" ht="39.75" customHeight="1" x14ac:dyDescent="0.2">
      <c r="B19" s="76" t="str">
        <f>IFERROR(INDEX('4 Kriterien'!$A$7:$A$135,MATCH(10,'4 Kriterien'!$M$7:$M$135,0))&amp;"","")</f>
        <v>A10</v>
      </c>
      <c r="C19" s="28" t="str">
        <f>IFERROR(INDEX('4 Kriterien'!$B$7:$B$135,MATCH(10,'4 Kriterien'!$M$7:$M$135,0))&amp;"","")</f>
        <v>Allgemein &amp; Bedienung</v>
      </c>
      <c r="D19" s="77" t="str">
        <f>IFERROR(INDEX('4 Kriterien'!$C$7:$C$135,MATCH(10,'4 Kriterien'!$M$7:$M$135,0))&amp;"","")</f>
        <v>Mehrere Standorte</v>
      </c>
      <c r="E19" s="60" t="str">
        <f>IFERROR(INDEX('4 Kriterien'!$D$7:$D$135,MATCH(10,'4 Kriterien'!$M$7:$M$135,0))&amp;"","")</f>
        <v>Können mehrere Standorte zentral verwaltet werden (gemeinsame Artikel und Preise, getrennte Auswertungen)?</v>
      </c>
      <c r="F19" s="78" t="str">
        <f>IF(IFERROR(INDEX('4 Kriterien'!$J$7:$J$135,MATCH(10,'4 Kriterien'!$M$7:$M$135,0))&amp;"","")="X","Muss","")</f>
        <v/>
      </c>
      <c r="G19" s="79"/>
      <c r="H19" s="79"/>
      <c r="I19" s="80"/>
    </row>
    <row r="20" spans="2:9" ht="39.75" customHeight="1" x14ac:dyDescent="0.2">
      <c r="B20" s="76" t="str">
        <f>IFERROR(INDEX('4 Kriterien'!$A$7:$A$135,MATCH(11,'4 Kriterien'!$M$7:$M$135,0))&amp;"","")</f>
        <v>B01</v>
      </c>
      <c r="C20" s="28" t="str">
        <f>IFERROR(INDEX('4 Kriterien'!$B$7:$B$135,MATCH(11,'4 Kriterien'!$M$7:$M$135,0))&amp;"","")</f>
        <v>Kosten &amp; Vertrag</v>
      </c>
      <c r="D20" s="77" t="str">
        <f>IFERROR(INDEX('4 Kriterien'!$C$7:$C$135,MATCH(11,'4 Kriterien'!$M$7:$M$135,0))&amp;"","")</f>
        <v>Einmalige Kosten transparent</v>
      </c>
      <c r="E20" s="60" t="str">
        <f>IFERROR(INDEX('4 Kriterien'!$D$7:$D$135,MATCH(11,'4 Kriterien'!$M$7:$M$135,0))&amp;"","")</f>
        <v>Wie hoch sind Einrichtung, Hardware, Datenübernahme und Schulung? Liegt eine schriftliche Offerte mit allen Positionen vor?</v>
      </c>
      <c r="F20" s="78" t="str">
        <f>IF(IFERROR(INDEX('4 Kriterien'!$J$7:$J$135,MATCH(11,'4 Kriterien'!$M$7:$M$135,0))&amp;"","")="X","Muss","")</f>
        <v/>
      </c>
      <c r="G20" s="79"/>
      <c r="H20" s="79"/>
      <c r="I20" s="80"/>
    </row>
    <row r="21" spans="2:9" ht="39.75" customHeight="1" x14ac:dyDescent="0.2">
      <c r="B21" s="76" t="str">
        <f>IFERROR(INDEX('4 Kriterien'!$A$7:$A$135,MATCH(12,'4 Kriterien'!$M$7:$M$135,0))&amp;"","")</f>
        <v>B02</v>
      </c>
      <c r="C21" s="28" t="str">
        <f>IFERROR(INDEX('4 Kriterien'!$B$7:$B$135,MATCH(12,'4 Kriterien'!$M$7:$M$135,0))&amp;"","")</f>
        <v>Kosten &amp; Vertrag</v>
      </c>
      <c r="D21" s="77" t="str">
        <f>IFERROR(INDEX('4 Kriterien'!$C$7:$C$135,MATCH(12,'4 Kriterien'!$M$7:$M$135,0))&amp;"","")</f>
        <v>Laufende Kosten transparent</v>
      </c>
      <c r="E21" s="60" t="str">
        <f>IFERROR(INDEX('4 Kriterien'!$D$7:$D$135,MATCH(12,'4 Kriterien'!$M$7:$M$135,0))&amp;"","")</f>
        <v>Was kostet die Lösung pro Monat inklusive aller benötigten Module, Geräte und Benutzer:innen?</v>
      </c>
      <c r="F21" s="78" t="str">
        <f>IF(IFERROR(INDEX('4 Kriterien'!$J$7:$J$135,MATCH(12,'4 Kriterien'!$M$7:$M$135,0))&amp;"","")="X","Muss","")</f>
        <v/>
      </c>
      <c r="G21" s="79"/>
      <c r="H21" s="79"/>
      <c r="I21" s="80"/>
    </row>
    <row r="22" spans="2:9" ht="39.75" customHeight="1" x14ac:dyDescent="0.2">
      <c r="B22" s="76" t="str">
        <f>IFERROR(INDEX('4 Kriterien'!$A$7:$A$135,MATCH(13,'4 Kriterien'!$M$7:$M$135,0))&amp;"","")</f>
        <v>B03</v>
      </c>
      <c r="C22" s="28" t="str">
        <f>IFERROR(INDEX('4 Kriterien'!$B$7:$B$135,MATCH(13,'4 Kriterien'!$M$7:$M$135,0))&amp;"","")</f>
        <v>Kosten &amp; Vertrag</v>
      </c>
      <c r="D22" s="77" t="str">
        <f>IFERROR(INDEX('4 Kriterien'!$C$7:$C$135,MATCH(13,'4 Kriterien'!$M$7:$M$135,0))&amp;"","")</f>
        <v>Passendes Lizenzmodell</v>
      </c>
      <c r="E22" s="60" t="str">
        <f>IFERROR(INDEX('4 Kriterien'!$D$7:$D$135,MATCH(13,'4 Kriterien'!$M$7:$M$135,0))&amp;"","")</f>
        <v>Wird pro Gerät, Person, Standort oder Umsatz abgerechnet? Was kostet ein zusätzliches Gerät oder eine Saisonkraft?</v>
      </c>
      <c r="F22" s="78" t="str">
        <f>IF(IFERROR(INDEX('4 Kriterien'!$J$7:$J$135,MATCH(13,'4 Kriterien'!$M$7:$M$135,0))&amp;"","")="X","Muss","")</f>
        <v/>
      </c>
      <c r="G22" s="79"/>
      <c r="H22" s="79"/>
      <c r="I22" s="80"/>
    </row>
    <row r="23" spans="2:9" ht="39.75" customHeight="1" x14ac:dyDescent="0.2">
      <c r="B23" s="76" t="str">
        <f>IFERROR(INDEX('4 Kriterien'!$A$7:$A$135,MATCH(14,'4 Kriterien'!$M$7:$M$135,0))&amp;"","")</f>
        <v>B04</v>
      </c>
      <c r="C23" s="28" t="str">
        <f>IFERROR(INDEX('4 Kriterien'!$B$7:$B$135,MATCH(14,'4 Kriterien'!$M$7:$M$135,0))&amp;"","")</f>
        <v>Kosten &amp; Vertrag</v>
      </c>
      <c r="D23" s="77" t="str">
        <f>IFERROR(INDEX('4 Kriterien'!$C$7:$C$135,MATCH(14,'4 Kriterien'!$M$7:$M$135,0))&amp;"","")</f>
        <v>Transaktions- und Zusatzgebühren</v>
      </c>
      <c r="E23" s="60" t="str">
        <f>IFERROR(INDEX('4 Kriterien'!$D$7:$D$135,MATCH(14,'4 Kriterien'!$M$7:$M$135,0))&amp;"","")</f>
        <v>Fallen Gebühren pro Transaktion, Reservation, SMS oder Bestellung an? Wie hoch in CHF oder Prozent?</v>
      </c>
      <c r="F23" s="78" t="str">
        <f>IF(IFERROR(INDEX('4 Kriterien'!$J$7:$J$135,MATCH(14,'4 Kriterien'!$M$7:$M$135,0))&amp;"","")="X","Muss","")</f>
        <v/>
      </c>
      <c r="G23" s="79"/>
      <c r="H23" s="79"/>
      <c r="I23" s="80"/>
    </row>
    <row r="24" spans="2:9" ht="39.75" customHeight="1" x14ac:dyDescent="0.2">
      <c r="B24" s="76" t="str">
        <f>IFERROR(INDEX('4 Kriterien'!$A$7:$A$135,MATCH(15,'4 Kriterien'!$M$7:$M$135,0))&amp;"","")</f>
        <v>B05</v>
      </c>
      <c r="C24" s="28" t="str">
        <f>IFERROR(INDEX('4 Kriterien'!$B$7:$B$135,MATCH(15,'4 Kriterien'!$M$7:$M$135,0))&amp;"","")</f>
        <v>Kosten &amp; Vertrag</v>
      </c>
      <c r="D24" s="77" t="str">
        <f>IFERROR(INDEX('4 Kriterien'!$C$7:$C$135,MATCH(15,'4 Kriterien'!$M$7:$M$135,0))&amp;"","")</f>
        <v>Laufzeit &amp; Kündigungsfrist</v>
      </c>
      <c r="E24" s="60" t="str">
        <f>IFERROR(INDEX('4 Kriterien'!$D$7:$D$135,MATCH(15,'4 Kriterien'!$M$7:$M$135,0))&amp;"","")</f>
        <v>Wie lange sind Mindestlaufzeit und Kündigungsfrist? Gibt es eine kostenlose Testphase?</v>
      </c>
      <c r="F24" s="78" t="str">
        <f>IF(IFERROR(INDEX('4 Kriterien'!$J$7:$J$135,MATCH(15,'4 Kriterien'!$M$7:$M$135,0))&amp;"","")="X","Muss","")</f>
        <v/>
      </c>
      <c r="G24" s="79"/>
      <c r="H24" s="79"/>
      <c r="I24" s="80"/>
    </row>
    <row r="25" spans="2:9" ht="39.75" customHeight="1" x14ac:dyDescent="0.2">
      <c r="B25" s="76" t="str">
        <f>IFERROR(INDEX('4 Kriterien'!$A$7:$A$135,MATCH(16,'4 Kriterien'!$M$7:$M$135,0))&amp;"","")</f>
        <v>B06</v>
      </c>
      <c r="C25" s="28" t="str">
        <f>IFERROR(INDEX('4 Kriterien'!$B$7:$B$135,MATCH(16,'4 Kriterien'!$M$7:$M$135,0))&amp;"","")</f>
        <v>Kosten &amp; Vertrag</v>
      </c>
      <c r="D25" s="77" t="str">
        <f>IFERROR(INDEX('4 Kriterien'!$C$7:$C$135,MATCH(16,'4 Kriterien'!$M$7:$M$135,0))&amp;"","")</f>
        <v>Preisanpassungen begrenzt</v>
      </c>
      <c r="E25" s="60" t="str">
        <f>IFERROR(INDEX('4 Kriterien'!$D$7:$D$135,MATCH(16,'4 Kriterien'!$M$7:$M$135,0))&amp;"","")</f>
        <v>Wie oft und um wie viel darf der Preis während der Laufzeit steigen? Ist das vertraglich begrenzt?</v>
      </c>
      <c r="F25" s="78" t="str">
        <f>IF(IFERROR(INDEX('4 Kriterien'!$J$7:$J$135,MATCH(16,'4 Kriterien'!$M$7:$M$135,0))&amp;"","")="X","Muss","")</f>
        <v/>
      </c>
      <c r="G25" s="79"/>
      <c r="H25" s="79"/>
      <c r="I25" s="80"/>
    </row>
    <row r="26" spans="2:9" ht="39.75" customHeight="1" x14ac:dyDescent="0.2">
      <c r="B26" s="76" t="str">
        <f>IFERROR(INDEX('4 Kriterien'!$A$7:$A$135,MATCH(17,'4 Kriterien'!$M$7:$M$135,0))&amp;"","")</f>
        <v>B07</v>
      </c>
      <c r="C26" s="28" t="str">
        <f>IFERROR(INDEX('4 Kriterien'!$B$7:$B$135,MATCH(17,'4 Kriterien'!$M$7:$M$135,0))&amp;"","")</f>
        <v>Kosten &amp; Vertrag</v>
      </c>
      <c r="D26" s="77" t="str">
        <f>IFERROR(INDEX('4 Kriterien'!$C$7:$C$135,MATCH(17,'4 Kriterien'!$M$7:$M$135,0))&amp;"","")</f>
        <v>Datenherausgabe bei Vertragsende</v>
      </c>
      <c r="E26" s="60" t="str">
        <f>IFERROR(INDEX('4 Kriterien'!$D$7:$D$135,MATCH(17,'4 Kriterien'!$M$7:$M$135,0))&amp;"","")</f>
        <v>Werden alle Daten (Artikel, Gäste, Umsätze) bei Vertragsende kostenlos und in einem offenen Format (CSV, Excel) herausgegeben?</v>
      </c>
      <c r="F26" s="78" t="str">
        <f>IF(IFERROR(INDEX('4 Kriterien'!$J$7:$J$135,MATCH(17,'4 Kriterien'!$M$7:$M$135,0))&amp;"","")="X","Muss","")</f>
        <v/>
      </c>
      <c r="G26" s="79"/>
      <c r="H26" s="79"/>
      <c r="I26" s="80"/>
    </row>
    <row r="27" spans="2:9" ht="39.75" customHeight="1" x14ac:dyDescent="0.2">
      <c r="B27" s="76" t="str">
        <f>IFERROR(INDEX('4 Kriterien'!$A$7:$A$135,MATCH(18,'4 Kriterien'!$M$7:$M$135,0))&amp;"","")</f>
        <v>B08</v>
      </c>
      <c r="C27" s="28" t="str">
        <f>IFERROR(INDEX('4 Kriterien'!$B$7:$B$135,MATCH(18,'4 Kriterien'!$M$7:$M$135,0))&amp;"","")</f>
        <v>Kosten &amp; Vertrag</v>
      </c>
      <c r="D27" s="77" t="str">
        <f>IFERROR(INDEX('4 Kriterien'!$C$7:$C$135,MATCH(18,'4 Kriterien'!$M$7:$M$135,0))&amp;"","")</f>
        <v>Hardware: Kauf, Miete, Garantie</v>
      </c>
      <c r="E27" s="60" t="str">
        <f>IFERROR(INDEX('4 Kriterien'!$D$7:$D$135,MATCH(18,'4 Kriterien'!$M$7:$M$135,0))&amp;"","")</f>
        <v>Kann vorhandene Hardware weiterverwendet werden? Kauf oder Miete? Wie lange gilt die Garantie und wie schnell kommt Ersatz?</v>
      </c>
      <c r="F27" s="78" t="str">
        <f>IF(IFERROR(INDEX('4 Kriterien'!$J$7:$J$135,MATCH(18,'4 Kriterien'!$M$7:$M$135,0))&amp;"","")="X","Muss","")</f>
        <v/>
      </c>
      <c r="G27" s="79"/>
      <c r="H27" s="79"/>
      <c r="I27" s="80"/>
    </row>
    <row r="28" spans="2:9" ht="39.75" customHeight="1" x14ac:dyDescent="0.2">
      <c r="B28" s="76" t="str">
        <f>IFERROR(INDEX('4 Kriterien'!$A$7:$A$135,MATCH(19,'4 Kriterien'!$M$7:$M$135,0))&amp;"","")</f>
        <v>B09</v>
      </c>
      <c r="C28" s="28" t="str">
        <f>IFERROR(INDEX('4 Kriterien'!$B$7:$B$135,MATCH(19,'4 Kriterien'!$M$7:$M$135,0))&amp;"","")</f>
        <v>Kosten &amp; Vertrag</v>
      </c>
      <c r="D28" s="77" t="str">
        <f>IFERROR(INDEX('4 Kriterien'!$C$7:$C$135,MATCH(19,'4 Kriterien'!$M$7:$M$135,0))&amp;"","")</f>
        <v>Updates inklusive</v>
      </c>
      <c r="E28" s="60" t="str">
        <f>IFERROR(INDEX('4 Kriterien'!$D$7:$D$135,MATCH(19,'4 Kriterien'!$M$7:$M$135,0))&amp;"","")</f>
        <v>Sind Updates und neue Funktionen im Preis enthalten oder kostenpflichtig?</v>
      </c>
      <c r="F28" s="78" t="str">
        <f>IF(IFERROR(INDEX('4 Kriterien'!$J$7:$J$135,MATCH(19,'4 Kriterien'!$M$7:$M$135,0))&amp;"","")="X","Muss","")</f>
        <v/>
      </c>
      <c r="G28" s="79"/>
      <c r="H28" s="79"/>
      <c r="I28" s="80"/>
    </row>
    <row r="29" spans="2:9" ht="39.75" customHeight="1" x14ac:dyDescent="0.2">
      <c r="B29" s="76" t="str">
        <f>IFERROR(INDEX('4 Kriterien'!$A$7:$A$135,MATCH(20,'4 Kriterien'!$M$7:$M$135,0))&amp;"","")</f>
        <v>C01</v>
      </c>
      <c r="C29" s="28" t="str">
        <f>IFERROR(INDEX('4 Kriterien'!$B$7:$B$135,MATCH(20,'4 Kriterien'!$M$7:$M$135,0))&amp;"","")</f>
        <v>Schnittstellen &amp; Daten</v>
      </c>
      <c r="D29" s="77" t="str">
        <f>IFERROR(INDEX('4 Kriterien'!$C$7:$C$135,MATCH(20,'4 Kriterien'!$M$7:$M$135,0))&amp;"","")</f>
        <v>Finanzbuchhaltung &amp; Treuhand</v>
      </c>
      <c r="E29" s="60" t="str">
        <f>IFERROR(INDEX('4 Kriterien'!$D$7:$D$135,MATCH(20,'4 Kriterien'!$M$7:$M$135,0))&amp;"","")</f>
        <v>Gibt es eine geprüfte Schnittstelle zur Buchhaltung bzw. zum Treuhand (z. B. Bexio, Abacus, Banana)? Was wird übertragen (Umsätze, MWST, Zahlungsarten)?</v>
      </c>
      <c r="F29" s="78" t="str">
        <f>IF(IFERROR(INDEX('4 Kriterien'!$J$7:$J$135,MATCH(20,'4 Kriterien'!$M$7:$M$135,0))&amp;"","")="X","Muss","")</f>
        <v/>
      </c>
      <c r="G29" s="79"/>
      <c r="H29" s="79"/>
      <c r="I29" s="80"/>
    </row>
    <row r="30" spans="2:9" ht="39.75" customHeight="1" x14ac:dyDescent="0.2">
      <c r="B30" s="76" t="str">
        <f>IFERROR(INDEX('4 Kriterien'!$A$7:$A$135,MATCH(21,'4 Kriterien'!$M$7:$M$135,0))&amp;"","")</f>
        <v>C02</v>
      </c>
      <c r="C30" s="28" t="str">
        <f>IFERROR(INDEX('4 Kriterien'!$B$7:$B$135,MATCH(21,'4 Kriterien'!$M$7:$M$135,0))&amp;"","")</f>
        <v>Schnittstellen &amp; Daten</v>
      </c>
      <c r="D30" s="77" t="str">
        <f>IFERROR(INDEX('4 Kriterien'!$C$7:$C$135,MATCH(21,'4 Kriterien'!$M$7:$M$135,0))&amp;"","")</f>
        <v>Zahlungsterminal</v>
      </c>
      <c r="E30" s="60" t="str">
        <f>IFERROR(INDEX('4 Kriterien'!$D$7:$D$135,MATCH(21,'4 Kriterien'!$M$7:$M$135,0))&amp;"","")</f>
        <v>Wird der Betrag automatisch ans Kartenterminal übertragen? Welche Terminals und Zahlungsmittel (Karten, TWINT) sind angebunden? Wie hoch sind die Gebühren?</v>
      </c>
      <c r="F30" s="78" t="str">
        <f>IF(IFERROR(INDEX('4 Kriterien'!$J$7:$J$135,MATCH(21,'4 Kriterien'!$M$7:$M$135,0))&amp;"","")="X","Muss","")</f>
        <v/>
      </c>
      <c r="G30" s="79"/>
      <c r="H30" s="79"/>
      <c r="I30" s="80"/>
    </row>
    <row r="31" spans="2:9" ht="39.75" customHeight="1" x14ac:dyDescent="0.2">
      <c r="B31" s="76" t="str">
        <f>IFERROR(INDEX('4 Kriterien'!$A$7:$A$135,MATCH(22,'4 Kriterien'!$M$7:$M$135,0))&amp;"","")</f>
        <v>C08</v>
      </c>
      <c r="C31" s="28" t="str">
        <f>IFERROR(INDEX('4 Kriterien'!$B$7:$B$135,MATCH(22,'4 Kriterien'!$M$7:$M$135,0))&amp;"","")</f>
        <v>Schnittstellen &amp; Daten</v>
      </c>
      <c r="D31" s="77" t="str">
        <f>IFERROR(INDEX('4 Kriterien'!$C$7:$C$135,MATCH(22,'4 Kriterien'!$M$7:$M$135,0))&amp;"","")</f>
        <v>Anbindung an Lieferplattformen</v>
      </c>
      <c r="E31" s="60" t="str">
        <f>IFERROR(INDEX('4 Kriterien'!$D$7:$D$135,MATCH(22,'4 Kriterien'!$M$7:$M$135,0))&amp;"","")</f>
        <v>Laufen Bestellungen von Lieferplattformen direkt in Kasse und Küche, ohne zusätzliches Tablet?</v>
      </c>
      <c r="F31" s="78" t="str">
        <f>IF(IFERROR(INDEX('4 Kriterien'!$J$7:$J$135,MATCH(22,'4 Kriterien'!$M$7:$M$135,0))&amp;"","")="X","Muss","")</f>
        <v/>
      </c>
      <c r="G31" s="79"/>
      <c r="H31" s="79"/>
      <c r="I31" s="80"/>
    </row>
    <row r="32" spans="2:9" ht="39.75" customHeight="1" x14ac:dyDescent="0.2">
      <c r="B32" s="76" t="str">
        <f>IFERROR(INDEX('4 Kriterien'!$A$7:$A$135,MATCH(23,'4 Kriterien'!$M$7:$M$135,0))&amp;"","")</f>
        <v>C10</v>
      </c>
      <c r="C32" s="28" t="str">
        <f>IFERROR(INDEX('4 Kriterien'!$B$7:$B$135,MATCH(23,'4 Kriterien'!$M$7:$M$135,0))&amp;"","")</f>
        <v>Schnittstellen &amp; Daten</v>
      </c>
      <c r="D32" s="77" t="str">
        <f>IFERROR(INDEX('4 Kriterien'!$C$7:$C$135,MATCH(23,'4 Kriterien'!$M$7:$M$135,0))&amp;"","")</f>
        <v>Offene Schnittstelle (API)</v>
      </c>
      <c r="E32" s="60" t="str">
        <f>IFERROR(INDEX('4 Kriterien'!$D$7:$D$135,MATCH(23,'4 Kriterien'!$M$7:$M$135,0))&amp;"","")</f>
        <v>Gibt es eine dokumentierte API für weitere Anbindungen? Kostet die Nutzung extra?</v>
      </c>
      <c r="F32" s="78" t="str">
        <f>IF(IFERROR(INDEX('4 Kriterien'!$J$7:$J$135,MATCH(23,'4 Kriterien'!$M$7:$M$135,0))&amp;"","")="X","Muss","")</f>
        <v/>
      </c>
      <c r="G32" s="79"/>
      <c r="H32" s="79"/>
      <c r="I32" s="80"/>
    </row>
    <row r="33" spans="2:9" ht="39.75" customHeight="1" x14ac:dyDescent="0.2">
      <c r="B33" s="76" t="str">
        <f>IFERROR(INDEX('4 Kriterien'!$A$7:$A$135,MATCH(24,'4 Kriterien'!$M$7:$M$135,0))&amp;"","")</f>
        <v>C11</v>
      </c>
      <c r="C33" s="28" t="str">
        <f>IFERROR(INDEX('4 Kriterien'!$B$7:$B$135,MATCH(24,'4 Kriterien'!$M$7:$M$135,0))&amp;"","")</f>
        <v>Schnittstellen &amp; Daten</v>
      </c>
      <c r="D33" s="77" t="str">
        <f>IFERROR(INDEX('4 Kriterien'!$C$7:$C$135,MATCH(24,'4 Kriterien'!$M$7:$M$135,0))&amp;"","")</f>
        <v>Datenexport jederzeit</v>
      </c>
      <c r="E33" s="60" t="str">
        <f>IFERROR(INDEX('4 Kriterien'!$D$7:$D$135,MATCH(24,'4 Kriterien'!$M$7:$M$135,0))&amp;"","")</f>
        <v>Lassen sich alle Daten jederzeit selbst exportieren (CSV, Excel)?</v>
      </c>
      <c r="F33" s="78" t="str">
        <f>IF(IFERROR(INDEX('4 Kriterien'!$J$7:$J$135,MATCH(24,'4 Kriterien'!$M$7:$M$135,0))&amp;"","")="X","Muss","")</f>
        <v/>
      </c>
      <c r="G33" s="79"/>
      <c r="H33" s="79"/>
      <c r="I33" s="80"/>
    </row>
    <row r="34" spans="2:9" ht="39.75" customHeight="1" x14ac:dyDescent="0.2">
      <c r="B34" s="76" t="str">
        <f>IFERROR(INDEX('4 Kriterien'!$A$7:$A$135,MATCH(25,'4 Kriterien'!$M$7:$M$135,0))&amp;"","")</f>
        <v>C12</v>
      </c>
      <c r="C34" s="28" t="str">
        <f>IFERROR(INDEX('4 Kriterien'!$B$7:$B$135,MATCH(25,'4 Kriterien'!$M$7:$M$135,0))&amp;"","")</f>
        <v>Schnittstellen &amp; Daten</v>
      </c>
      <c r="D34" s="77" t="str">
        <f>IFERROR(INDEX('4 Kriterien'!$C$7:$C$135,MATCH(25,'4 Kriterien'!$M$7:$M$135,0))&amp;"","")</f>
        <v>Datenübernahme aus dem bisherigen System</v>
      </c>
      <c r="E34" s="60" t="str">
        <f>IFERROR(INDEX('4 Kriterien'!$D$7:$D$135,MATCH(25,'4 Kriterien'!$M$7:$M$135,0))&amp;"","")</f>
        <v>Übernimmt der Anbieter Artikel, Gästedaten und Historie aus dem bisherigen System? Zu welchen Kosten?</v>
      </c>
      <c r="F34" s="78" t="str">
        <f>IF(IFERROR(INDEX('4 Kriterien'!$J$7:$J$135,MATCH(25,'4 Kriterien'!$M$7:$M$135,0))&amp;"","")="X","Muss","")</f>
        <v/>
      </c>
      <c r="G34" s="79"/>
      <c r="H34" s="79"/>
      <c r="I34" s="80"/>
    </row>
    <row r="35" spans="2:9" ht="39.75" customHeight="1" x14ac:dyDescent="0.2">
      <c r="B35" s="76" t="str">
        <f>IFERROR(INDEX('4 Kriterien'!$A$7:$A$135,MATCH(26,'4 Kriterien'!$M$7:$M$135,0))&amp;"","")</f>
        <v>K01</v>
      </c>
      <c r="C35" s="28" t="str">
        <f>IFERROR(INDEX('4 Kriterien'!$B$7:$B$135,MATCH(26,'4 Kriterien'!$M$7:$M$135,0))&amp;"","")</f>
        <v>Kasse &amp; Service</v>
      </c>
      <c r="D35" s="77" t="str">
        <f>IFERROR(INDEX('4 Kriterien'!$C$7:$C$135,MATCH(26,'4 Kriterien'!$M$7:$M$135,0))&amp;"","")</f>
        <v>Tischplan &amp; Tischverwaltung</v>
      </c>
      <c r="E35" s="60" t="str">
        <f>IFERROR(INDEX('4 Kriterien'!$D$7:$D$135,MATCH(26,'4 Kriterien'!$M$7:$M$135,0))&amp;"","")</f>
        <v>Lässt sich der Tischplan des Betriebs abbilden (Räume, Terrasse)? Sind Tische umbuchbar und zusammenlegbar?</v>
      </c>
      <c r="F35" s="78" t="str">
        <f>IF(IFERROR(INDEX('4 Kriterien'!$J$7:$J$135,MATCH(26,'4 Kriterien'!$M$7:$M$135,0))&amp;"","")="X","Muss","")</f>
        <v/>
      </c>
      <c r="G35" s="79"/>
      <c r="H35" s="79"/>
      <c r="I35" s="80"/>
    </row>
    <row r="36" spans="2:9" ht="39.75" customHeight="1" x14ac:dyDescent="0.2">
      <c r="B36" s="76" t="str">
        <f>IFERROR(INDEX('4 Kriterien'!$A$7:$A$135,MATCH(27,'4 Kriterien'!$M$7:$M$135,0))&amp;"","")</f>
        <v>K02</v>
      </c>
      <c r="C36" s="28" t="str">
        <f>IFERROR(INDEX('4 Kriterien'!$B$7:$B$135,MATCH(27,'4 Kriterien'!$M$7:$M$135,0))&amp;"","")</f>
        <v>Kasse &amp; Service</v>
      </c>
      <c r="D36" s="77" t="str">
        <f>IFERROR(INDEX('4 Kriterien'!$C$7:$C$135,MATCH(27,'4 Kriterien'!$M$7:$M$135,0))&amp;"","")</f>
        <v>Mobile Bestellaufnahme</v>
      </c>
      <c r="E36" s="60" t="str">
        <f>IFERROR(INDEX('4 Kriterien'!$D$7:$D$135,MATCH(27,'4 Kriterien'!$M$7:$M$135,0))&amp;"","")</f>
        <v>Können Bestellungen am Tisch per Handgerät aufgenommen werden? Wie robust sind die Geräte, wie lange hält der Akku?</v>
      </c>
      <c r="F36" s="78" t="str">
        <f>IF(IFERROR(INDEX('4 Kriterien'!$J$7:$J$135,MATCH(27,'4 Kriterien'!$M$7:$M$135,0))&amp;"","")="X","Muss","")</f>
        <v/>
      </c>
      <c r="G36" s="79"/>
      <c r="H36" s="79"/>
      <c r="I36" s="80"/>
    </row>
    <row r="37" spans="2:9" ht="39.75" customHeight="1" x14ac:dyDescent="0.2">
      <c r="B37" s="76" t="str">
        <f>IFERROR(INDEX('4 Kriterien'!$A$7:$A$135,MATCH(28,'4 Kriterien'!$M$7:$M$135,0))&amp;"","")</f>
        <v>K03</v>
      </c>
      <c r="C37" s="28" t="str">
        <f>IFERROR(INDEX('4 Kriterien'!$B$7:$B$135,MATCH(28,'4 Kriterien'!$M$7:$M$135,0))&amp;"","")</f>
        <v>Kasse &amp; Service</v>
      </c>
      <c r="D37" s="77" t="str">
        <f>IFERROR(INDEX('4 Kriterien'!$C$7:$C$135,MATCH(28,'4 Kriterien'!$M$7:$M$135,0))&amp;"","")</f>
        <v>Küchenbons &amp; Küchenmonitor</v>
      </c>
      <c r="E37" s="60" t="str">
        <f>IFERROR(INDEX('4 Kriterien'!$D$7:$D$135,MATCH(28,'4 Kriterien'!$M$7:$M$135,0))&amp;"","")</f>
        <v>Werden Bestellungen nach Posten (Küche, Bar, Pâtisserie) an Drucker oder Küchenmonitor verteilt? Lassen sich Gänge abrufen?</v>
      </c>
      <c r="F37" s="78" t="str">
        <f>IF(IFERROR(INDEX('4 Kriterien'!$J$7:$J$135,MATCH(28,'4 Kriterien'!$M$7:$M$135,0))&amp;"","")="X","Muss","")</f>
        <v/>
      </c>
      <c r="G37" s="79"/>
      <c r="H37" s="79"/>
      <c r="I37" s="80"/>
    </row>
    <row r="38" spans="2:9" ht="39.75" customHeight="1" x14ac:dyDescent="0.2">
      <c r="B38" s="76" t="str">
        <f>IFERROR(INDEX('4 Kriterien'!$A$7:$A$135,MATCH(29,'4 Kriterien'!$M$7:$M$135,0))&amp;"","")</f>
        <v>K04</v>
      </c>
      <c r="C38" s="28" t="str">
        <f>IFERROR(INDEX('4 Kriterien'!$B$7:$B$135,MATCH(29,'4 Kriterien'!$M$7:$M$135,0))&amp;"","")</f>
        <v>Kasse &amp; Service</v>
      </c>
      <c r="D38" s="77" t="str">
        <f>IFERROR(INDEX('4 Kriterien'!$C$7:$C$135,MATCH(29,'4 Kriterien'!$M$7:$M$135,0))&amp;"","")</f>
        <v>Artikel, Menüs &amp; Varianten</v>
      </c>
      <c r="E38" s="60" t="str">
        <f>IFERROR(INDEX('4 Kriterien'!$D$7:$D$135,MATCH(29,'4 Kriterien'!$M$7:$M$135,0))&amp;"","")</f>
        <v>Lassen sich Menüs, Beilagen, Zusatzwünsche und Preisstufen (z. B. Mittagsmenü, Happy Hour) einfach pflegen?</v>
      </c>
      <c r="F38" s="78" t="str">
        <f>IF(IFERROR(INDEX('4 Kriterien'!$J$7:$J$135,MATCH(29,'4 Kriterien'!$M$7:$M$135,0))&amp;"","")="X","Muss","")</f>
        <v/>
      </c>
      <c r="G38" s="79"/>
      <c r="H38" s="79"/>
      <c r="I38" s="80"/>
    </row>
    <row r="39" spans="2:9" ht="39.75" customHeight="1" x14ac:dyDescent="0.2">
      <c r="B39" s="76" t="str">
        <f>IFERROR(INDEX('4 Kriterien'!$A$7:$A$135,MATCH(30,'4 Kriterien'!$M$7:$M$135,0))&amp;"","")</f>
        <v>K05</v>
      </c>
      <c r="C39" s="28" t="str">
        <f>IFERROR(INDEX('4 Kriterien'!$B$7:$B$135,MATCH(30,'4 Kriterien'!$M$7:$M$135,0))&amp;"","")</f>
        <v>Kasse &amp; Service</v>
      </c>
      <c r="D39" s="77" t="str">
        <f>IFERROR(INDEX('4 Kriterien'!$C$7:$C$135,MATCH(30,'4 Kriterien'!$M$7:$M$135,0))&amp;"","")</f>
        <v>Allergene &amp; Deklaration</v>
      </c>
      <c r="E39" s="60" t="str">
        <f>IFERROR(INDEX('4 Kriterien'!$D$7:$D$135,MATCH(30,'4 Kriterien'!$M$7:$M$135,0))&amp;"","")</f>
        <v>Können Allergene und Herkunft pro Artikel hinterlegt und für Service und Gäste angezeigt werden?</v>
      </c>
      <c r="F39" s="78" t="str">
        <f>IF(IFERROR(INDEX('4 Kriterien'!$J$7:$J$135,MATCH(30,'4 Kriterien'!$M$7:$M$135,0))&amp;"","")="X","Muss","")</f>
        <v/>
      </c>
      <c r="G39" s="79"/>
      <c r="H39" s="79"/>
      <c r="I39" s="80"/>
    </row>
    <row r="40" spans="2:9" ht="39.75" customHeight="1" x14ac:dyDescent="0.2">
      <c r="B40" s="76" t="str">
        <f>IFERROR(INDEX('4 Kriterien'!$A$7:$A$135,MATCH(31,'4 Kriterien'!$M$7:$M$135,0))&amp;"","")</f>
        <v>K06</v>
      </c>
      <c r="C40" s="28" t="str">
        <f>IFERROR(INDEX('4 Kriterien'!$B$7:$B$135,MATCH(31,'4 Kriterien'!$M$7:$M$135,0))&amp;"","")</f>
        <v>Kasse &amp; Service</v>
      </c>
      <c r="D40" s="77" t="str">
        <f>IFERROR(INDEX('4 Kriterien'!$C$7:$C$135,MATCH(31,'4 Kriterien'!$M$7:$M$135,0))&amp;"","")</f>
        <v>Rechnungen teilen &amp; zusammenführen</v>
      </c>
      <c r="E40" s="60" t="str">
        <f>IFERROR(INDEX('4 Kriterien'!$D$7:$D$135,MATCH(31,'4 Kriterien'!$M$7:$M$135,0))&amp;"","")</f>
        <v>Können Rechnungen nach Gast, Artikel oder Betrag geteilt und Tische zusammengeführt werden?</v>
      </c>
      <c r="F40" s="78" t="str">
        <f>IF(IFERROR(INDEX('4 Kriterien'!$J$7:$J$135,MATCH(31,'4 Kriterien'!$M$7:$M$135,0))&amp;"","")="X","Muss","")</f>
        <v/>
      </c>
      <c r="G40" s="79"/>
      <c r="H40" s="79"/>
      <c r="I40" s="80"/>
    </row>
    <row r="41" spans="2:9" ht="39.75" customHeight="1" x14ac:dyDescent="0.2">
      <c r="B41" s="76" t="str">
        <f>IFERROR(INDEX('4 Kriterien'!$A$7:$A$135,MATCH(32,'4 Kriterien'!$M$7:$M$135,0))&amp;"","")</f>
        <v>K07</v>
      </c>
      <c r="C41" s="28" t="str">
        <f>IFERROR(INDEX('4 Kriterien'!$B$7:$B$135,MATCH(32,'4 Kriterien'!$M$7:$M$135,0))&amp;"","")</f>
        <v>Kasse &amp; Service</v>
      </c>
      <c r="D41" s="77" t="str">
        <f>IFERROR(INDEX('4 Kriterien'!$C$7:$C$135,MATCH(32,'4 Kriterien'!$M$7:$M$135,0))&amp;"","")</f>
        <v>Trinkgeld</v>
      </c>
      <c r="E41" s="60" t="str">
        <f>IFERROR(INDEX('4 Kriterien'!$D$7:$D$135,MATCH(32,'4 Kriterien'!$M$7:$M$135,0))&amp;"","")</f>
        <v>Wie wird Trinkgeld bei Kartenzahlung erfasst und den Mitarbeitenden zugeordnet?</v>
      </c>
      <c r="F41" s="78" t="str">
        <f>IF(IFERROR(INDEX('4 Kriterien'!$J$7:$J$135,MATCH(32,'4 Kriterien'!$M$7:$M$135,0))&amp;"","")="X","Muss","")</f>
        <v/>
      </c>
      <c r="G41" s="79"/>
      <c r="H41" s="79"/>
      <c r="I41" s="80"/>
    </row>
    <row r="42" spans="2:9" ht="39.75" customHeight="1" x14ac:dyDescent="0.2">
      <c r="B42" s="76" t="str">
        <f>IFERROR(INDEX('4 Kriterien'!$A$7:$A$135,MATCH(33,'4 Kriterien'!$M$7:$M$135,0))&amp;"","")</f>
        <v>K08</v>
      </c>
      <c r="C42" s="28" t="str">
        <f>IFERROR(INDEX('4 Kriterien'!$B$7:$B$135,MATCH(33,'4 Kriterien'!$M$7:$M$135,0))&amp;"","")</f>
        <v>Kasse &amp; Service</v>
      </c>
      <c r="D42" s="77" t="str">
        <f>IFERROR(INDEX('4 Kriterien'!$C$7:$C$135,MATCH(33,'4 Kriterien'!$M$7:$M$135,0))&amp;"","")</f>
        <v>MWST Schweiz</v>
      </c>
      <c r="E42" s="60" t="str">
        <f>IFERROR(INDEX('4 Kriterien'!$D$7:$D$135,MATCH(33,'4 Kriterien'!$M$7:$M$135,0))&amp;"","")</f>
        <v>Werden Restaurant- und Take-away-Satz korrekt getrennt und auf der Quittung ausgewiesen? Sind Satzänderungen im Preis enthalten?</v>
      </c>
      <c r="F42" s="78" t="str">
        <f>IF(IFERROR(INDEX('4 Kriterien'!$J$7:$J$135,MATCH(33,'4 Kriterien'!$M$7:$M$135,0))&amp;"","")="X","Muss","")</f>
        <v/>
      </c>
      <c r="G42" s="79"/>
      <c r="H42" s="79"/>
      <c r="I42" s="80"/>
    </row>
    <row r="43" spans="2:9" ht="39.75" customHeight="1" x14ac:dyDescent="0.2">
      <c r="B43" s="76" t="str">
        <f>IFERROR(INDEX('4 Kriterien'!$A$7:$A$135,MATCH(34,'4 Kriterien'!$M$7:$M$135,0))&amp;"","")</f>
        <v>K09</v>
      </c>
      <c r="C43" s="28" t="str">
        <f>IFERROR(INDEX('4 Kriterien'!$B$7:$B$135,MATCH(34,'4 Kriterien'!$M$7:$M$135,0))&amp;"","")</f>
        <v>Kasse &amp; Service</v>
      </c>
      <c r="D43" s="77" t="str">
        <f>IFERROR(INDEX('4 Kriterien'!$C$7:$C$135,MATCH(34,'4 Kriterien'!$M$7:$M$135,0))&amp;"","")</f>
        <v>Tagesabschluss &amp; Kassenbuch</v>
      </c>
      <c r="E43" s="60" t="str">
        <f>IFERROR(INDEX('4 Kriterien'!$D$7:$D$135,MATCH(34,'4 Kriterien'!$M$7:$M$135,0))&amp;"","")</f>
        <v>Wie lange dauert der Tagesabschluss? Gibt es ein revisionssicheres Journal und eine Abrechnung pro Mitarbeiter:in?</v>
      </c>
      <c r="F43" s="78" t="str">
        <f>IF(IFERROR(INDEX('4 Kriterien'!$J$7:$J$135,MATCH(34,'4 Kriterien'!$M$7:$M$135,0))&amp;"","")="X","Muss","")</f>
        <v/>
      </c>
      <c r="G43" s="79"/>
      <c r="H43" s="79"/>
      <c r="I43" s="80"/>
    </row>
    <row r="44" spans="2:9" ht="39.75" customHeight="1" x14ac:dyDescent="0.2">
      <c r="B44" s="76" t="str">
        <f>IFERROR(INDEX('4 Kriterien'!$A$7:$A$135,MATCH(35,'4 Kriterien'!$M$7:$M$135,0))&amp;"","")</f>
        <v>K10</v>
      </c>
      <c r="C44" s="28" t="str">
        <f>IFERROR(INDEX('4 Kriterien'!$B$7:$B$135,MATCH(35,'4 Kriterien'!$M$7:$M$135,0))&amp;"","")</f>
        <v>Kasse &amp; Service</v>
      </c>
      <c r="D44" s="77" t="str">
        <f>IFERROR(INDEX('4 Kriterien'!$C$7:$C$135,MATCH(35,'4 Kriterien'!$M$7:$M$135,0))&amp;"","")</f>
        <v>Gutscheine an der Kasse</v>
      </c>
      <c r="E44" s="60" t="str">
        <f>IFERROR(INDEX('4 Kriterien'!$D$7:$D$135,MATCH(35,'4 Kriterien'!$M$7:$M$135,0))&amp;"","")</f>
        <v>Können Gutscheine verkauft und eingelöst werden? Wird der Restwert verfolgt?</v>
      </c>
      <c r="F44" s="78" t="str">
        <f>IF(IFERROR(INDEX('4 Kriterien'!$J$7:$J$135,MATCH(35,'4 Kriterien'!$M$7:$M$135,0))&amp;"","")="X","Muss","")</f>
        <v/>
      </c>
      <c r="G44" s="79"/>
      <c r="H44" s="79"/>
      <c r="I44" s="80"/>
    </row>
    <row r="45" spans="2:9" ht="39.75" customHeight="1" x14ac:dyDescent="0.2">
      <c r="B45" s="76" t="str">
        <f>IFERROR(INDEX('4 Kriterien'!$A$7:$A$135,MATCH(36,'4 Kriterien'!$M$7:$M$135,0))&amp;"","")</f>
        <v>K11</v>
      </c>
      <c r="C45" s="28" t="str">
        <f>IFERROR(INDEX('4 Kriterien'!$B$7:$B$135,MATCH(36,'4 Kriterien'!$M$7:$M$135,0))&amp;"","")</f>
        <v>Kasse &amp; Service</v>
      </c>
      <c r="D45" s="77" t="str">
        <f>IFERROR(INDEX('4 Kriterien'!$C$7:$C$135,MATCH(36,'4 Kriterien'!$M$7:$M$135,0))&amp;"","")</f>
        <v>Bestellen &amp; Bezahlen per QR-Code</v>
      </c>
      <c r="E45" s="60" t="str">
        <f>IFERROR(INDEX('4 Kriterien'!$D$7:$D$135,MATCH(36,'4 Kriterien'!$M$7:$M$135,0))&amp;"","")</f>
        <v>Können Gäste am Tisch per QR-Code selbst bestellen und bezahlen?</v>
      </c>
      <c r="F45" s="78" t="str">
        <f>IF(IFERROR(INDEX('4 Kriterien'!$J$7:$J$135,MATCH(36,'4 Kriterien'!$M$7:$M$135,0))&amp;"","")="X","Muss","")</f>
        <v/>
      </c>
      <c r="G45" s="79"/>
      <c r="H45" s="79"/>
      <c r="I45" s="80"/>
    </row>
    <row r="46" spans="2:9" ht="39.75" customHeight="1" x14ac:dyDescent="0.2">
      <c r="B46" s="76" t="str">
        <f>IFERROR(INDEX('4 Kriterien'!$A$7:$A$135,MATCH(37,'4 Kriterien'!$M$7:$M$135,0))&amp;"","")</f>
        <v>R01</v>
      </c>
      <c r="C46" s="28" t="str">
        <f>IFERROR(INDEX('4 Kriterien'!$B$7:$B$135,MATCH(37,'4 Kriterien'!$M$7:$M$135,0))&amp;"","")</f>
        <v>Tischreservation</v>
      </c>
      <c r="D46" s="77" t="str">
        <f>IFERROR(INDEX('4 Kriterien'!$C$7:$C$135,MATCH(37,'4 Kriterien'!$M$7:$M$135,0))&amp;"","")</f>
        <v>Online-Reservation</v>
      </c>
      <c r="E46" s="60" t="str">
        <f>IFERROR(INDEX('4 Kriterien'!$D$7:$D$135,MATCH(37,'4 Kriterien'!$M$7:$M$135,0))&amp;"","")</f>
        <v>Können Gäste rund um die Uhr über Website, Google und Social Media reservieren?</v>
      </c>
      <c r="F46" s="78" t="str">
        <f>IF(IFERROR(INDEX('4 Kriterien'!$J$7:$J$135,MATCH(37,'4 Kriterien'!$M$7:$M$135,0))&amp;"","")="X","Muss","")</f>
        <v/>
      </c>
      <c r="G46" s="79"/>
      <c r="H46" s="79"/>
      <c r="I46" s="80"/>
    </row>
    <row r="47" spans="2:9" ht="39.75" customHeight="1" x14ac:dyDescent="0.2">
      <c r="B47" s="76" t="str">
        <f>IFERROR(INDEX('4 Kriterien'!$A$7:$A$135,MATCH(38,'4 Kriterien'!$M$7:$M$135,0))&amp;"","")</f>
        <v>R02</v>
      </c>
      <c r="C47" s="28" t="str">
        <f>IFERROR(INDEX('4 Kriterien'!$B$7:$B$135,MATCH(38,'4 Kriterien'!$M$7:$M$135,0))&amp;"","")</f>
        <v>Tischreservation</v>
      </c>
      <c r="D47" s="77" t="str">
        <f>IFERROR(INDEX('4 Kriterien'!$C$7:$C$135,MATCH(38,'4 Kriterien'!$M$7:$M$135,0))&amp;"","")</f>
        <v>Kapazitäts- &amp; Schichtsteuerung</v>
      </c>
      <c r="E47" s="60" t="str">
        <f>IFERROR(INDEX('4 Kriterien'!$D$7:$D$135,MATCH(38,'4 Kriterien'!$M$7:$M$135,0))&amp;"","")</f>
        <v>Lassen sich Sitzungen (z. B. 18:00 und 20:30), Tischdauer und Maximalkapazität pro Zeitfenster steuern?</v>
      </c>
      <c r="F47" s="78" t="str">
        <f>IF(IFERROR(INDEX('4 Kriterien'!$J$7:$J$135,MATCH(38,'4 Kriterien'!$M$7:$M$135,0))&amp;"","")="X","Muss","")</f>
        <v/>
      </c>
      <c r="G47" s="79"/>
      <c r="H47" s="79"/>
      <c r="I47" s="80"/>
    </row>
    <row r="48" spans="2:9" ht="39.75" customHeight="1" x14ac:dyDescent="0.2">
      <c r="B48" s="76" t="str">
        <f>IFERROR(INDEX('4 Kriterien'!$A$7:$A$135,MATCH(39,'4 Kriterien'!$M$7:$M$135,0))&amp;"","")</f>
        <v>R03</v>
      </c>
      <c r="C48" s="28" t="str">
        <f>IFERROR(INDEX('4 Kriterien'!$B$7:$B$135,MATCH(39,'4 Kriterien'!$M$7:$M$135,0))&amp;"","")</f>
        <v>Tischreservation</v>
      </c>
      <c r="D48" s="77" t="str">
        <f>IFERROR(INDEX('4 Kriterien'!$C$7:$C$135,MATCH(39,'4 Kriterien'!$M$7:$M$135,0))&amp;"","")</f>
        <v>Schutz vor No-Shows</v>
      </c>
      <c r="E48" s="60" t="str">
        <f>IFERROR(INDEX('4 Kriterien'!$D$7:$D$135,MATCH(39,'4 Kriterien'!$M$7:$M$135,0))&amp;"","")</f>
        <v>Gibt es Kreditkartengarantie, Anzahlung oder Stornogebühren? Was kostet diese Funktion?</v>
      </c>
      <c r="F48" s="78" t="str">
        <f>IF(IFERROR(INDEX('4 Kriterien'!$J$7:$J$135,MATCH(39,'4 Kriterien'!$M$7:$M$135,0))&amp;"","")="X","Muss","")</f>
        <v/>
      </c>
      <c r="G48" s="79"/>
      <c r="H48" s="79"/>
      <c r="I48" s="80"/>
    </row>
    <row r="49" spans="2:9" ht="39.75" customHeight="1" x14ac:dyDescent="0.2">
      <c r="B49" s="76" t="str">
        <f>IFERROR(INDEX('4 Kriterien'!$A$7:$A$135,MATCH(40,'4 Kriterien'!$M$7:$M$135,0))&amp;"","")</f>
        <v>R04</v>
      </c>
      <c r="C49" s="28" t="str">
        <f>IFERROR(INDEX('4 Kriterien'!$B$7:$B$135,MATCH(40,'4 Kriterien'!$M$7:$M$135,0))&amp;"","")</f>
        <v>Tischreservation</v>
      </c>
      <c r="D49" s="77" t="str">
        <f>IFERROR(INDEX('4 Kriterien'!$C$7:$C$135,MATCH(40,'4 Kriterien'!$M$7:$M$135,0))&amp;"","")</f>
        <v>Bestätigung &amp; Erinnerung</v>
      </c>
      <c r="E49" s="60" t="str">
        <f>IFERROR(INDEX('4 Kriterien'!$D$7:$D$135,MATCH(40,'4 Kriterien'!$M$7:$M$135,0))&amp;"","")</f>
        <v>Werden Bestätigungen und Erinnerungen automatisch per E-Mail oder SMS versendet? Was kostet eine SMS?</v>
      </c>
      <c r="F49" s="78" t="str">
        <f>IF(IFERROR(INDEX('4 Kriterien'!$J$7:$J$135,MATCH(40,'4 Kriterien'!$M$7:$M$135,0))&amp;"","")="X","Muss","")</f>
        <v/>
      </c>
      <c r="G49" s="79"/>
      <c r="H49" s="79"/>
      <c r="I49" s="80"/>
    </row>
    <row r="50" spans="2:9" ht="39.75" customHeight="1" x14ac:dyDescent="0.2">
      <c r="B50" s="76" t="str">
        <f>IFERROR(INDEX('4 Kriterien'!$A$7:$A$135,MATCH(41,'4 Kriterien'!$M$7:$M$135,0))&amp;"","")</f>
        <v>R05</v>
      </c>
      <c r="C50" s="28" t="str">
        <f>IFERROR(INDEX('4 Kriterien'!$B$7:$B$135,MATCH(41,'4 Kriterien'!$M$7:$M$135,0))&amp;"","")</f>
        <v>Tischreservation</v>
      </c>
      <c r="D50" s="77" t="str">
        <f>IFERROR(INDEX('4 Kriterien'!$C$7:$C$135,MATCH(41,'4 Kriterien'!$M$7:$M$135,0))&amp;"","")</f>
        <v>Gästeprofil &amp; Notizen</v>
      </c>
      <c r="E50" s="60" t="str">
        <f>IFERROR(INDEX('4 Kriterien'!$D$7:$D$135,MATCH(41,'4 Kriterien'!$M$7:$M$135,0))&amp;"","")</f>
        <v>Werden Allergien, Vorlieben und Besuchshistorie pro Gast gespeichert, mit Einwilligung des Gastes?</v>
      </c>
      <c r="F50" s="78" t="str">
        <f>IF(IFERROR(INDEX('4 Kriterien'!$J$7:$J$135,MATCH(41,'4 Kriterien'!$M$7:$M$135,0))&amp;"","")="X","Muss","")</f>
        <v/>
      </c>
      <c r="G50" s="79"/>
      <c r="H50" s="79"/>
      <c r="I50" s="80"/>
    </row>
    <row r="51" spans="2:9" ht="39.75" customHeight="1" x14ac:dyDescent="0.2">
      <c r="B51" s="76" t="str">
        <f>IFERROR(INDEX('4 Kriterien'!$A$7:$A$135,MATCH(42,'4 Kriterien'!$M$7:$M$135,0))&amp;"","")</f>
        <v>R06</v>
      </c>
      <c r="C51" s="28" t="str">
        <f>IFERROR(INDEX('4 Kriterien'!$B$7:$B$135,MATCH(42,'4 Kriterien'!$M$7:$M$135,0))&amp;"","")</f>
        <v>Tischreservation</v>
      </c>
      <c r="D51" s="77" t="str">
        <f>IFERROR(INDEX('4 Kriterien'!$C$7:$C$135,MATCH(42,'4 Kriterien'!$M$7:$M$135,0))&amp;"","")</f>
        <v>Warteliste &amp; Walk-ins</v>
      </c>
      <c r="E51" s="60" t="str">
        <f>IFERROR(INDEX('4 Kriterien'!$D$7:$D$135,MATCH(42,'4 Kriterien'!$M$7:$M$135,0))&amp;"","")</f>
        <v>Lassen sich Walk-ins und eine Warteliste erfassen?</v>
      </c>
      <c r="F51" s="78" t="str">
        <f>IF(IFERROR(INDEX('4 Kriterien'!$J$7:$J$135,MATCH(42,'4 Kriterien'!$M$7:$M$135,0))&amp;"","")="X","Muss","")</f>
        <v/>
      </c>
      <c r="G51" s="79"/>
      <c r="H51" s="79"/>
      <c r="I51" s="80"/>
    </row>
    <row r="52" spans="2:9" ht="39.75" customHeight="1" x14ac:dyDescent="0.2">
      <c r="B52" s="76" t="str">
        <f>IFERROR(INDEX('4 Kriterien'!$A$7:$A$135,MATCH(43,'4 Kriterien'!$M$7:$M$135,0))&amp;"","")</f>
        <v>R07</v>
      </c>
      <c r="C52" s="28" t="str">
        <f>IFERROR(INDEX('4 Kriterien'!$B$7:$B$135,MATCH(43,'4 Kriterien'!$M$7:$M$135,0))&amp;"","")</f>
        <v>Tischreservation</v>
      </c>
      <c r="D52" s="77" t="str">
        <f>IFERROR(INDEX('4 Kriterien'!$C$7:$C$135,MATCH(43,'4 Kriterien'!$M$7:$M$135,0))&amp;"","")</f>
        <v>Telefon- &amp; E-Mail-Reservationen</v>
      </c>
      <c r="E52" s="60" t="str">
        <f>IFERROR(INDEX('4 Kriterien'!$D$7:$D$135,MATCH(43,'4 Kriterien'!$M$7:$M$135,0))&amp;"","")</f>
        <v>Lassen sich telefonische Reservationen schnell erfassen? Werden E-Mail-Anfragen ins System übernommen?</v>
      </c>
      <c r="F52" s="78" t="str">
        <f>IF(IFERROR(INDEX('4 Kriterien'!$J$7:$J$135,MATCH(43,'4 Kriterien'!$M$7:$M$135,0))&amp;"","")="X","Muss","")</f>
        <v/>
      </c>
      <c r="G52" s="79"/>
      <c r="H52" s="79"/>
      <c r="I52" s="80"/>
    </row>
    <row r="53" spans="2:9" ht="39.75" customHeight="1" x14ac:dyDescent="0.2">
      <c r="B53" s="76" t="str">
        <f>IFERROR(INDEX('4 Kriterien'!$A$7:$A$135,MATCH(44,'4 Kriterien'!$M$7:$M$135,0))&amp;"","")</f>
        <v>R08</v>
      </c>
      <c r="C53" s="28" t="str">
        <f>IFERROR(INDEX('4 Kriterien'!$B$7:$B$135,MATCH(44,'4 Kriterien'!$M$7:$M$135,0))&amp;"","")</f>
        <v>Tischreservation</v>
      </c>
      <c r="D53" s="77" t="str">
        <f>IFERROR(INDEX('4 Kriterien'!$C$7:$C$135,MATCH(44,'4 Kriterien'!$M$7:$M$135,0))&amp;"","")</f>
        <v>Provisionsmodell</v>
      </c>
      <c r="E53" s="60" t="str">
        <f>IFERROR(INDEX('4 Kriterien'!$D$7:$D$135,MATCH(44,'4 Kriterien'!$M$7:$M$135,0))&amp;"","")</f>
        <v>Fallen Provisionen pro Gast oder Reservation an? Auch für Reservationen über die eigene Website?</v>
      </c>
      <c r="F53" s="78" t="str">
        <f>IF(IFERROR(INDEX('4 Kriterien'!$J$7:$J$135,MATCH(44,'4 Kriterien'!$M$7:$M$135,0))&amp;"","")="X","Muss","")</f>
        <v/>
      </c>
      <c r="G53" s="79"/>
      <c r="H53" s="79"/>
      <c r="I53" s="80"/>
    </row>
    <row r="54" spans="2:9" ht="39.75" customHeight="1" x14ac:dyDescent="0.2">
      <c r="B54" s="76" t="str">
        <f>IFERROR(INDEX('4 Kriterien'!$A$7:$A$135,MATCH(45,'4 Kriterien'!$M$7:$M$135,0))&amp;"","")</f>
        <v>P01</v>
      </c>
      <c r="C54" s="28" t="str">
        <f>IFERROR(INDEX('4 Kriterien'!$B$7:$B$135,MATCH(45,'4 Kriterien'!$M$7:$M$135,0))&amp;"","")</f>
        <v>Personalplanung &amp; Zeiterfassung</v>
      </c>
      <c r="D54" s="77" t="str">
        <f>IFERROR(INDEX('4 Kriterien'!$C$7:$C$135,MATCH(45,'4 Kriterien'!$M$7:$M$135,0))&amp;"","")</f>
        <v>Dienstplan erstellen</v>
      </c>
      <c r="E54" s="60" t="str">
        <f>IFERROR(INDEX('4 Kriterien'!$D$7:$D$135,MATCH(45,'4 Kriterien'!$M$7:$M$135,0))&amp;"","")</f>
        <v>Wie schnell entsteht ein Wochenplan? Gibt es Vorlagen, Schichttausch und Verfügbarkeiten der Mitarbeitenden?</v>
      </c>
      <c r="F54" s="78" t="str">
        <f>IF(IFERROR(INDEX('4 Kriterien'!$J$7:$J$135,MATCH(45,'4 Kriterien'!$M$7:$M$135,0))&amp;"","")="X","Muss","")</f>
        <v/>
      </c>
      <c r="G54" s="79"/>
      <c r="H54" s="79"/>
      <c r="I54" s="80"/>
    </row>
    <row r="55" spans="2:9" ht="39.75" customHeight="1" x14ac:dyDescent="0.2">
      <c r="B55" s="76" t="str">
        <f>IFERROR(INDEX('4 Kriterien'!$A$7:$A$135,MATCH(46,'4 Kriterien'!$M$7:$M$135,0))&amp;"","")</f>
        <v>P02</v>
      </c>
      <c r="C55" s="28" t="str">
        <f>IFERROR(INDEX('4 Kriterien'!$B$7:$B$135,MATCH(46,'4 Kriterien'!$M$7:$M$135,0))&amp;"","")</f>
        <v>Personalplanung &amp; Zeiterfassung</v>
      </c>
      <c r="D55" s="77" t="str">
        <f>IFERROR(INDEX('4 Kriterien'!$C$7:$C$135,MATCH(46,'4 Kriterien'!$M$7:$M$135,0))&amp;"","")</f>
        <v>L-GAV-Konformität</v>
      </c>
      <c r="E55" s="60" t="str">
        <f>IFERROR(INDEX('4 Kriterien'!$D$7:$D$135,MATCH(46,'4 Kriterien'!$M$7:$M$135,0))&amp;"","")</f>
        <v>Prüft das System Ruhezeiten, Höchstarbeitszeit, Ruhetage und Ferienanspruch nach L-GAV automatisch?</v>
      </c>
      <c r="F55" s="78" t="str">
        <f>IF(IFERROR(INDEX('4 Kriterien'!$J$7:$J$135,MATCH(46,'4 Kriterien'!$M$7:$M$135,0))&amp;"","")="X","Muss","")</f>
        <v/>
      </c>
      <c r="G55" s="79"/>
      <c r="H55" s="79"/>
      <c r="I55" s="80"/>
    </row>
    <row r="56" spans="2:9" ht="39.75" customHeight="1" x14ac:dyDescent="0.2">
      <c r="B56" s="76" t="str">
        <f>IFERROR(INDEX('4 Kriterien'!$A$7:$A$135,MATCH(47,'4 Kriterien'!$M$7:$M$135,0))&amp;"","")</f>
        <v>P03</v>
      </c>
      <c r="C56" s="28" t="str">
        <f>IFERROR(INDEX('4 Kriterien'!$B$7:$B$135,MATCH(47,'4 Kriterien'!$M$7:$M$135,0))&amp;"","")</f>
        <v>Personalplanung &amp; Zeiterfassung</v>
      </c>
      <c r="D56" s="77" t="str">
        <f>IFERROR(INDEX('4 Kriterien'!$C$7:$C$135,MATCH(47,'4 Kriterien'!$M$7:$M$135,0))&amp;"","")</f>
        <v>Zeiterfassung</v>
      </c>
      <c r="E56" s="60" t="str">
        <f>IFERROR(INDEX('4 Kriterien'!$D$7:$D$135,MATCH(47,'4 Kriterien'!$M$7:$M$135,0))&amp;"","")</f>
        <v>Wie wird gestempelt (App, Terminal, Kasse)? Werden Soll- und Ist-Stunden automatisch abgeglichen?</v>
      </c>
      <c r="F56" s="78" t="str">
        <f>IF(IFERROR(INDEX('4 Kriterien'!$J$7:$J$135,MATCH(47,'4 Kriterien'!$M$7:$M$135,0))&amp;"","")="X","Muss","")</f>
        <v/>
      </c>
      <c r="G56" s="79"/>
      <c r="H56" s="79"/>
      <c r="I56" s="80"/>
    </row>
    <row r="57" spans="2:9" ht="39.75" customHeight="1" x14ac:dyDescent="0.2">
      <c r="B57" s="76" t="str">
        <f>IFERROR(INDEX('4 Kriterien'!$A$7:$A$135,MATCH(48,'4 Kriterien'!$M$7:$M$135,0))&amp;"","")</f>
        <v>P04</v>
      </c>
      <c r="C57" s="28" t="str">
        <f>IFERROR(INDEX('4 Kriterien'!$B$7:$B$135,MATCH(48,'4 Kriterien'!$M$7:$M$135,0))&amp;"","")</f>
        <v>Personalplanung &amp; Zeiterfassung</v>
      </c>
      <c r="D57" s="77" t="str">
        <f>IFERROR(INDEX('4 Kriterien'!$C$7:$C$135,MATCH(48,'4 Kriterien'!$M$7:$M$135,0))&amp;"","")</f>
        <v>Absenzen &amp; Ferien</v>
      </c>
      <c r="E57" s="60" t="str">
        <f>IFERROR(INDEX('4 Kriterien'!$D$7:$D$135,MATCH(48,'4 Kriterien'!$M$7:$M$135,0))&amp;"","")</f>
        <v>Werden Ferien, Krankheit und Überstundensaldi pro Person geführt?</v>
      </c>
      <c r="F57" s="78" t="str">
        <f>IF(IFERROR(INDEX('4 Kriterien'!$J$7:$J$135,MATCH(48,'4 Kriterien'!$M$7:$M$135,0))&amp;"","")="X","Muss","")</f>
        <v/>
      </c>
      <c r="G57" s="79"/>
      <c r="H57" s="79"/>
      <c r="I57" s="80"/>
    </row>
    <row r="58" spans="2:9" ht="39.75" customHeight="1" x14ac:dyDescent="0.2">
      <c r="B58" s="76" t="str">
        <f>IFERROR(INDEX('4 Kriterien'!$A$7:$A$135,MATCH(49,'4 Kriterien'!$M$7:$M$135,0))&amp;"","")</f>
        <v>P05</v>
      </c>
      <c r="C58" s="28" t="str">
        <f>IFERROR(INDEX('4 Kriterien'!$B$7:$B$135,MATCH(49,'4 Kriterien'!$M$7:$M$135,0))&amp;"","")</f>
        <v>Personalplanung &amp; Zeiterfassung</v>
      </c>
      <c r="D58" s="77" t="str">
        <f>IFERROR(INDEX('4 Kriterien'!$C$7:$C$135,MATCH(49,'4 Kriterien'!$M$7:$M$135,0))&amp;"","")</f>
        <v>App für Mitarbeitende</v>
      </c>
      <c r="E58" s="60" t="str">
        <f>IFERROR(INDEX('4 Kriterien'!$D$7:$D$135,MATCH(49,'4 Kriterien'!$M$7:$M$135,0))&amp;"","")</f>
        <v>Sehen Mitarbeitende Dienstplan, Saldi und Tauschanfragen in einer App?</v>
      </c>
      <c r="F58" s="78" t="str">
        <f>IF(IFERROR(INDEX('4 Kriterien'!$J$7:$J$135,MATCH(49,'4 Kriterien'!$M$7:$M$135,0))&amp;"","")="X","Muss","")</f>
        <v/>
      </c>
      <c r="G58" s="79"/>
      <c r="H58" s="79"/>
      <c r="I58" s="80"/>
    </row>
    <row r="59" spans="2:9" ht="39.75" customHeight="1" x14ac:dyDescent="0.2">
      <c r="B59" s="76" t="str">
        <f>IFERROR(INDEX('4 Kriterien'!$A$7:$A$135,MATCH(50,'4 Kriterien'!$M$7:$M$135,0))&amp;"","")</f>
        <v>P06</v>
      </c>
      <c r="C59" s="28" t="str">
        <f>IFERROR(INDEX('4 Kriterien'!$B$7:$B$135,MATCH(50,'4 Kriterien'!$M$7:$M$135,0))&amp;"","")</f>
        <v>Personalplanung &amp; Zeiterfassung</v>
      </c>
      <c r="D59" s="77" t="str">
        <f>IFERROR(INDEX('4 Kriterien'!$C$7:$C$135,MATCH(50,'4 Kriterien'!$M$7:$M$135,0))&amp;"","")</f>
        <v>Planung nach Umsatz</v>
      </c>
      <c r="E59" s="60" t="str">
        <f>IFERROR(INDEX('4 Kriterien'!$D$7:$D$135,MATCH(50,'4 Kriterien'!$M$7:$M$135,0))&amp;"","")</f>
        <v>Kann der Personalbedarf anhand von Umsatz oder Reservationen geplant werden? Wird die Personalkostenquote angezeigt?</v>
      </c>
      <c r="F59" s="78" t="str">
        <f>IF(IFERROR(INDEX('4 Kriterien'!$J$7:$J$135,MATCH(50,'4 Kriterien'!$M$7:$M$135,0))&amp;"","")="X","Muss","")</f>
        <v/>
      </c>
      <c r="G59" s="79"/>
      <c r="H59" s="79"/>
      <c r="I59" s="80"/>
    </row>
    <row r="60" spans="2:9" ht="39.75" customHeight="1" x14ac:dyDescent="0.2">
      <c r="B60" s="76" t="str">
        <f>IFERROR(INDEX('4 Kriterien'!$A$7:$A$135,MATCH(51,'4 Kriterien'!$M$7:$M$135,0))&amp;"","")</f>
        <v>P07</v>
      </c>
      <c r="C60" s="28" t="str">
        <f>IFERROR(INDEX('4 Kriterien'!$B$7:$B$135,MATCH(51,'4 Kriterien'!$M$7:$M$135,0))&amp;"","")</f>
        <v>Personalplanung &amp; Zeiterfassung</v>
      </c>
      <c r="D60" s="77" t="str">
        <f>IFERROR(INDEX('4 Kriterien'!$C$7:$C$135,MATCH(51,'4 Kriterien'!$M$7:$M$135,0))&amp;"","")</f>
        <v>Lohnvorbereitung</v>
      </c>
      <c r="E60" s="60" t="str">
        <f>IFERROR(INDEX('4 Kriterien'!$D$7:$D$135,MATCH(51,'4 Kriterien'!$M$7:$M$135,0))&amp;"","")</f>
        <v>Werden Stunden, Zuschläge und Absenzen für die Lohnbuchhaltung exportiert? Für welche Lohnsoftware?</v>
      </c>
      <c r="F60" s="78" t="str">
        <f>IF(IFERROR(INDEX('4 Kriterien'!$J$7:$J$135,MATCH(51,'4 Kriterien'!$M$7:$M$135,0))&amp;"","")="X","Muss","")</f>
        <v/>
      </c>
      <c r="G60" s="79"/>
      <c r="H60" s="79"/>
      <c r="I60" s="80"/>
    </row>
    <row r="61" spans="2:9" ht="39.75" customHeight="1" x14ac:dyDescent="0.2">
      <c r="B61" s="76" t="str">
        <f>IFERROR(INDEX('4 Kriterien'!$A$7:$A$135,MATCH(52,'4 Kriterien'!$M$7:$M$135,0))&amp;"","")</f>
        <v>W01</v>
      </c>
      <c r="C61" s="28" t="str">
        <f>IFERROR(INDEX('4 Kriterien'!$B$7:$B$135,MATCH(52,'4 Kriterien'!$M$7:$M$135,0))&amp;"","")</f>
        <v>Warenwirtschaft &amp; Kalkulation</v>
      </c>
      <c r="D61" s="77" t="str">
        <f>IFERROR(INDEX('4 Kriterien'!$C$7:$C$135,MATCH(52,'4 Kriterien'!$M$7:$M$135,0))&amp;"","")</f>
        <v>Rezepturen &amp; Kalkulation</v>
      </c>
      <c r="E61" s="60" t="str">
        <f>IFERROR(INDEX('4 Kriterien'!$D$7:$D$135,MATCH(52,'4 Kriterien'!$M$7:$M$135,0))&amp;"","")</f>
        <v>Lassen sich Rezepturen mit Wareneinsatz pro Portion hinterlegen? Werden Preisänderungen der Lieferanten automatisch nachgerechnet?</v>
      </c>
      <c r="F61" s="78" t="str">
        <f>IF(IFERROR(INDEX('4 Kriterien'!$J$7:$J$135,MATCH(52,'4 Kriterien'!$M$7:$M$135,0))&amp;"","")="X","Muss","")</f>
        <v/>
      </c>
      <c r="G61" s="79"/>
      <c r="H61" s="79"/>
      <c r="I61" s="80"/>
    </row>
    <row r="62" spans="2:9" ht="39.75" customHeight="1" x14ac:dyDescent="0.2">
      <c r="B62" s="76" t="str">
        <f>IFERROR(INDEX('4 Kriterien'!$A$7:$A$135,MATCH(53,'4 Kriterien'!$M$7:$M$135,0))&amp;"","")</f>
        <v>W02</v>
      </c>
      <c r="C62" s="28" t="str">
        <f>IFERROR(INDEX('4 Kriterien'!$B$7:$B$135,MATCH(53,'4 Kriterien'!$M$7:$M$135,0))&amp;"","")</f>
        <v>Warenwirtschaft &amp; Kalkulation</v>
      </c>
      <c r="D62" s="77" t="str">
        <f>IFERROR(INDEX('4 Kriterien'!$C$7:$C$135,MATCH(53,'4 Kriterien'!$M$7:$M$135,0))&amp;"","")</f>
        <v>Lagerbestand</v>
      </c>
      <c r="E62" s="60" t="str">
        <f>IFERROR(INDEX('4 Kriterien'!$D$7:$D$135,MATCH(53,'4 Kriterien'!$M$7:$M$135,0))&amp;"","")</f>
        <v>Wird der Lagerbestand pro Artikel und Lagerort geführt?</v>
      </c>
      <c r="F62" s="78" t="str">
        <f>IF(IFERROR(INDEX('4 Kriterien'!$J$7:$J$135,MATCH(53,'4 Kriterien'!$M$7:$M$135,0))&amp;"","")="X","Muss","")</f>
        <v/>
      </c>
      <c r="G62" s="79"/>
      <c r="H62" s="79"/>
      <c r="I62" s="80"/>
    </row>
    <row r="63" spans="2:9" ht="39.75" customHeight="1" x14ac:dyDescent="0.2">
      <c r="B63" s="76" t="str">
        <f>IFERROR(INDEX('4 Kriterien'!$A$7:$A$135,MATCH(54,'4 Kriterien'!$M$7:$M$135,0))&amp;"","")</f>
        <v>W03</v>
      </c>
      <c r="C63" s="28" t="str">
        <f>IFERROR(INDEX('4 Kriterien'!$B$7:$B$135,MATCH(54,'4 Kriterien'!$M$7:$M$135,0))&amp;"","")</f>
        <v>Warenwirtschaft &amp; Kalkulation</v>
      </c>
      <c r="D63" s="77" t="str">
        <f>IFERROR(INDEX('4 Kriterien'!$C$7:$C$135,MATCH(54,'4 Kriterien'!$M$7:$M$135,0))&amp;"","")</f>
        <v>Bestellwesen</v>
      </c>
      <c r="E63" s="60" t="str">
        <f>IFERROR(INDEX('4 Kriterien'!$D$7:$D$135,MATCH(54,'4 Kriterien'!$M$7:$M$135,0))&amp;"","")</f>
        <v>Können Bestellungen direkt an Lieferanten ausgelöst werden? Gibt es Bestellvorschläge?</v>
      </c>
      <c r="F63" s="78" t="str">
        <f>IF(IFERROR(INDEX('4 Kriterien'!$J$7:$J$135,MATCH(54,'4 Kriterien'!$M$7:$M$135,0))&amp;"","")="X","Muss","")</f>
        <v/>
      </c>
      <c r="G63" s="79"/>
      <c r="H63" s="79"/>
      <c r="I63" s="80"/>
    </row>
    <row r="64" spans="2:9" ht="39.75" customHeight="1" x14ac:dyDescent="0.2">
      <c r="B64" s="76" t="str">
        <f>IFERROR(INDEX('4 Kriterien'!$A$7:$A$135,MATCH(55,'4 Kriterien'!$M$7:$M$135,0))&amp;"","")</f>
        <v>W04</v>
      </c>
      <c r="C64" s="28" t="str">
        <f>IFERROR(INDEX('4 Kriterien'!$B$7:$B$135,MATCH(55,'4 Kriterien'!$M$7:$M$135,0))&amp;"","")</f>
        <v>Warenwirtschaft &amp; Kalkulation</v>
      </c>
      <c r="D64" s="77" t="str">
        <f>IFERROR(INDEX('4 Kriterien'!$C$7:$C$135,MATCH(55,'4 Kriterien'!$M$7:$M$135,0))&amp;"","")</f>
        <v>Inventur</v>
      </c>
      <c r="E64" s="60" t="str">
        <f>IFERROR(INDEX('4 Kriterien'!$D$7:$D$135,MATCH(55,'4 Kriterien'!$M$7:$M$135,0))&amp;"","")</f>
        <v>Ist die Inventur mobil per App möglich? Wie lange dauert sie im Vergleich zu heute?</v>
      </c>
      <c r="F64" s="78" t="str">
        <f>IF(IFERROR(INDEX('4 Kriterien'!$J$7:$J$135,MATCH(55,'4 Kriterien'!$M$7:$M$135,0))&amp;"","")="X","Muss","")</f>
        <v/>
      </c>
      <c r="G64" s="79"/>
      <c r="H64" s="79"/>
      <c r="I64" s="80"/>
    </row>
    <row r="65" spans="2:9" ht="39.75" customHeight="1" x14ac:dyDescent="0.2">
      <c r="B65" s="76" t="str">
        <f>IFERROR(INDEX('4 Kriterien'!$A$7:$A$135,MATCH(56,'4 Kriterien'!$M$7:$M$135,0))&amp;"","")</f>
        <v>W05</v>
      </c>
      <c r="C65" s="28" t="str">
        <f>IFERROR(INDEX('4 Kriterien'!$B$7:$B$135,MATCH(56,'4 Kriterien'!$M$7:$M$135,0))&amp;"","")</f>
        <v>Warenwirtschaft &amp; Kalkulation</v>
      </c>
      <c r="D65" s="77" t="str">
        <f>IFERROR(INDEX('4 Kriterien'!$C$7:$C$135,MATCH(56,'4 Kriterien'!$M$7:$M$135,0))&amp;"","")</f>
        <v>Wareneinsatz-Auswertung</v>
      </c>
      <c r="E65" s="60" t="str">
        <f>IFERROR(INDEX('4 Kriterien'!$D$7:$D$135,MATCH(56,'4 Kriterien'!$M$7:$M$135,0))&amp;"","")</f>
        <v>Zeigt das System Soll- und Ist-Wareneinsatz pro Periode und Warengruppe?</v>
      </c>
      <c r="F65" s="78" t="str">
        <f>IF(IFERROR(INDEX('4 Kriterien'!$J$7:$J$135,MATCH(56,'4 Kriterien'!$M$7:$M$135,0))&amp;"","")="X","Muss","")</f>
        <v/>
      </c>
      <c r="G65" s="79"/>
      <c r="H65" s="79"/>
      <c r="I65" s="80"/>
    </row>
    <row r="66" spans="2:9" ht="39.75" customHeight="1" x14ac:dyDescent="0.2">
      <c r="B66" s="76" t="str">
        <f>IFERROR(INDEX('4 Kriterien'!$A$7:$A$135,MATCH(57,'4 Kriterien'!$M$7:$M$135,0))&amp;"","")</f>
        <v>W06</v>
      </c>
      <c r="C66" s="28" t="str">
        <f>IFERROR(INDEX('4 Kriterien'!$B$7:$B$135,MATCH(57,'4 Kriterien'!$M$7:$M$135,0))&amp;"","")</f>
        <v>Warenwirtschaft &amp; Kalkulation</v>
      </c>
      <c r="D66" s="77" t="str">
        <f>IFERROR(INDEX('4 Kriterien'!$C$7:$C$135,MATCH(57,'4 Kriterien'!$M$7:$M$135,0))&amp;"","")</f>
        <v>Food-Waste erfassen</v>
      </c>
      <c r="E66" s="60" t="str">
        <f>IFERROR(INDEX('4 Kriterien'!$D$7:$D$135,MATCH(57,'4 Kriterien'!$M$7:$M$135,0))&amp;"","")</f>
        <v>Können Verluste und Abschriften erfasst und ausgewertet werden?</v>
      </c>
      <c r="F66" s="78" t="str">
        <f>IF(IFERROR(INDEX('4 Kriterien'!$J$7:$J$135,MATCH(57,'4 Kriterien'!$M$7:$M$135,0))&amp;"","")="X","Muss","")</f>
        <v/>
      </c>
      <c r="G66" s="79"/>
      <c r="H66" s="79"/>
      <c r="I66" s="80"/>
    </row>
    <row r="67" spans="2:9" ht="39.75" customHeight="1" x14ac:dyDescent="0.2">
      <c r="B67" s="76" t="str">
        <f>IFERROR(INDEX('4 Kriterien'!$A$7:$A$135,MATCH(58,'4 Kriterien'!$M$7:$M$135,0))&amp;"","")</f>
        <v>W07</v>
      </c>
      <c r="C67" s="28" t="str">
        <f>IFERROR(INDEX('4 Kriterien'!$B$7:$B$135,MATCH(58,'4 Kriterien'!$M$7:$M$135,0))&amp;"","")</f>
        <v>Warenwirtschaft &amp; Kalkulation</v>
      </c>
      <c r="D67" s="77" t="str">
        <f>IFERROR(INDEX('4 Kriterien'!$C$7:$C$135,MATCH(58,'4 Kriterien'!$M$7:$M$135,0))&amp;"","")</f>
        <v>Lieferantenrechnungen</v>
      </c>
      <c r="E67" s="60" t="str">
        <f>IFERROR(INDEX('4 Kriterien'!$D$7:$D$135,MATCH(58,'4 Kriterien'!$M$7:$M$135,0))&amp;"","")</f>
        <v>Werden Lieferantenrechnungen digital erfasst und mit den Bestellungen abgeglichen?</v>
      </c>
      <c r="F67" s="78" t="str">
        <f>IF(IFERROR(INDEX('4 Kriterien'!$J$7:$J$135,MATCH(58,'4 Kriterien'!$M$7:$M$135,0))&amp;"","")="X","Muss","")</f>
        <v/>
      </c>
      <c r="G67" s="79"/>
      <c r="H67" s="79"/>
      <c r="I67" s="80"/>
    </row>
    <row r="68" spans="2:9" ht="39.75" customHeight="1" x14ac:dyDescent="0.2">
      <c r="B68" s="76" t="str">
        <f>IFERROR(INDEX('4 Kriterien'!$A$7:$A$135,MATCH(59,'4 Kriterien'!$M$7:$M$135,0))&amp;"","")</f>
        <v>H01</v>
      </c>
      <c r="C68" s="28" t="str">
        <f>IFERROR(INDEX('4 Kriterien'!$B$7:$B$135,MATCH(59,'4 Kriterien'!$M$7:$M$135,0))&amp;"","")</f>
        <v>Hotel (PMS)</v>
      </c>
      <c r="D68" s="77" t="str">
        <f>IFERROR(INDEX('4 Kriterien'!$C$7:$C$135,MATCH(59,'4 Kriterien'!$M$7:$M$135,0))&amp;"","")</f>
        <v>Zimmerplan &amp; Belegung</v>
      </c>
      <c r="E68" s="60" t="str">
        <f>IFERROR(INDEX('4 Kriterien'!$D$7:$D$135,MATCH(59,'4 Kriterien'!$M$7:$M$135,0))&amp;"","")</f>
        <v>Ist die Belegung übersichtlich dargestellt (Zimmerplan, Verfügbarkeiten, Gruppen)?</v>
      </c>
      <c r="F68" s="78" t="str">
        <f>IF(IFERROR(INDEX('4 Kriterien'!$J$7:$J$135,MATCH(59,'4 Kriterien'!$M$7:$M$135,0))&amp;"","")="X","Muss","")</f>
        <v/>
      </c>
      <c r="G68" s="79"/>
      <c r="H68" s="79"/>
      <c r="I68" s="80"/>
    </row>
    <row r="69" spans="2:9" ht="39.75" customHeight="1" x14ac:dyDescent="0.2">
      <c r="B69" s="76" t="str">
        <f>IFERROR(INDEX('4 Kriterien'!$A$7:$A$135,MATCH(60,'4 Kriterien'!$M$7:$M$135,0))&amp;"","")</f>
        <v>H02</v>
      </c>
      <c r="C69" s="28" t="str">
        <f>IFERROR(INDEX('4 Kriterien'!$B$7:$B$135,MATCH(60,'4 Kriterien'!$M$7:$M$135,0))&amp;"","")</f>
        <v>Hotel (PMS)</v>
      </c>
      <c r="D69" s="77" t="str">
        <f>IFERROR(INDEX('4 Kriterien'!$C$7:$C$135,MATCH(60,'4 Kriterien'!$M$7:$M$135,0))&amp;"","")</f>
        <v>Channel Manager</v>
      </c>
      <c r="E69" s="60" t="str">
        <f>IFERROR(INDEX('4 Kriterien'!$D$7:$D$135,MATCH(60,'4 Kriterien'!$M$7:$M$135,0))&amp;"","")</f>
        <v>Werden Verfügbarkeiten und Preise automatisch mit Buchungsplattformen synchronisiert? Welche Kanäle sind angebunden?</v>
      </c>
      <c r="F69" s="78" t="str">
        <f>IF(IFERROR(INDEX('4 Kriterien'!$J$7:$J$135,MATCH(60,'4 Kriterien'!$M$7:$M$135,0))&amp;"","")="X","Muss","")</f>
        <v/>
      </c>
      <c r="G69" s="79"/>
      <c r="H69" s="79"/>
      <c r="I69" s="80"/>
    </row>
    <row r="70" spans="2:9" ht="39.75" customHeight="1" x14ac:dyDescent="0.2">
      <c r="B70" s="76" t="str">
        <f>IFERROR(INDEX('4 Kriterien'!$A$7:$A$135,MATCH(61,'4 Kriterien'!$M$7:$M$135,0))&amp;"","")</f>
        <v>H03</v>
      </c>
      <c r="C70" s="28" t="str">
        <f>IFERROR(INDEX('4 Kriterien'!$B$7:$B$135,MATCH(61,'4 Kriterien'!$M$7:$M$135,0))&amp;"","")</f>
        <v>Hotel (PMS)</v>
      </c>
      <c r="D70" s="77" t="str">
        <f>IFERROR(INDEX('4 Kriterien'!$C$7:$C$135,MATCH(61,'4 Kriterien'!$M$7:$M$135,0))&amp;"","")</f>
        <v>Direktbuchung (Booking Engine)</v>
      </c>
      <c r="E70" s="60" t="str">
        <f>IFERROR(INDEX('4 Kriterien'!$D$7:$D$135,MATCH(61,'4 Kriterien'!$M$7:$M$135,0))&amp;"","")</f>
        <v>Gibt es eine eigene Buchungsmaske für die Website ohne Provision?</v>
      </c>
      <c r="F70" s="78" t="str">
        <f>IF(IFERROR(INDEX('4 Kriterien'!$J$7:$J$135,MATCH(61,'4 Kriterien'!$M$7:$M$135,0))&amp;"","")="X","Muss","")</f>
        <v/>
      </c>
      <c r="G70" s="79"/>
      <c r="H70" s="79"/>
      <c r="I70" s="80"/>
    </row>
    <row r="71" spans="2:9" ht="39.75" customHeight="1" x14ac:dyDescent="0.2">
      <c r="B71" s="76" t="str">
        <f>IFERROR(INDEX('4 Kriterien'!$A$7:$A$135,MATCH(62,'4 Kriterien'!$M$7:$M$135,0))&amp;"","")</f>
        <v>H04</v>
      </c>
      <c r="C71" s="28" t="str">
        <f>IFERROR(INDEX('4 Kriterien'!$B$7:$B$135,MATCH(62,'4 Kriterien'!$M$7:$M$135,0))&amp;"","")</f>
        <v>Hotel (PMS)</v>
      </c>
      <c r="D71" s="77" t="str">
        <f>IFERROR(INDEX('4 Kriterien'!$C$7:$C$135,MATCH(62,'4 Kriterien'!$M$7:$M$135,0))&amp;"","")</f>
        <v>Gästemeldung &amp; Kurtaxe</v>
      </c>
      <c r="E71" s="60" t="str">
        <f>IFERROR(INDEX('4 Kriterien'!$D$7:$D$135,MATCH(62,'4 Kriterien'!$M$7:$M$135,0))&amp;"","")</f>
        <v>Werden Gästemeldung und Kurtaxe nach den kantonalen Vorgaben unterstützt?</v>
      </c>
      <c r="F71" s="78" t="str">
        <f>IF(IFERROR(INDEX('4 Kriterien'!$J$7:$J$135,MATCH(62,'4 Kriterien'!$M$7:$M$135,0))&amp;"","")="X","Muss","")</f>
        <v/>
      </c>
      <c r="G71" s="79"/>
      <c r="H71" s="79"/>
      <c r="I71" s="80"/>
    </row>
    <row r="72" spans="2:9" ht="39.75" customHeight="1" x14ac:dyDescent="0.2">
      <c r="B72" s="76" t="str">
        <f>IFERROR(INDEX('4 Kriterien'!$A$7:$A$135,MATCH(63,'4 Kriterien'!$M$7:$M$135,0))&amp;"","")</f>
        <v>H05</v>
      </c>
      <c r="C72" s="28" t="str">
        <f>IFERROR(INDEX('4 Kriterien'!$B$7:$B$135,MATCH(63,'4 Kriterien'!$M$7:$M$135,0))&amp;"","")</f>
        <v>Hotel (PMS)</v>
      </c>
      <c r="D72" s="77" t="str">
        <f>IFERROR(INDEX('4 Kriterien'!$C$7:$C$135,MATCH(63,'4 Kriterien'!$M$7:$M$135,0))&amp;"","")</f>
        <v>Housekeeping</v>
      </c>
      <c r="E72" s="60" t="str">
        <f>IFERROR(INDEX('4 Kriterien'!$D$7:$D$135,MATCH(63,'4 Kriterien'!$M$7:$M$135,0))&amp;"","")</f>
        <v>Sieht das Housekeeping den Zimmerstatus mobil und kann ihn direkt ändern?</v>
      </c>
      <c r="F72" s="78" t="str">
        <f>IF(IFERROR(INDEX('4 Kriterien'!$J$7:$J$135,MATCH(63,'4 Kriterien'!$M$7:$M$135,0))&amp;"","")="X","Muss","")</f>
        <v/>
      </c>
      <c r="G72" s="79"/>
      <c r="H72" s="79"/>
      <c r="I72" s="80"/>
    </row>
    <row r="73" spans="2:9" ht="39.75" customHeight="1" x14ac:dyDescent="0.2">
      <c r="B73" s="76" t="str">
        <f>IFERROR(INDEX('4 Kriterien'!$A$7:$A$135,MATCH(64,'4 Kriterien'!$M$7:$M$135,0))&amp;"","")</f>
        <v>H06</v>
      </c>
      <c r="C73" s="28" t="str">
        <f>IFERROR(INDEX('4 Kriterien'!$B$7:$B$135,MATCH(64,'4 Kriterien'!$M$7:$M$135,0))&amp;"","")</f>
        <v>Hotel (PMS)</v>
      </c>
      <c r="D73" s="77" t="str">
        <f>IFERROR(INDEX('4 Kriterien'!$C$7:$C$135,MATCH(64,'4 Kriterien'!$M$7:$M$135,0))&amp;"","")</f>
        <v>Preise &amp; Raten</v>
      </c>
      <c r="E73" s="60" t="str">
        <f>IFERROR(INDEX('4 Kriterien'!$D$7:$D$135,MATCH(64,'4 Kriterien'!$M$7:$M$135,0))&amp;"","")</f>
        <v>Lassen sich Saisonpreise, Pakete und Mindestaufenthalte verwalten?</v>
      </c>
      <c r="F73" s="78" t="str">
        <f>IF(IFERROR(INDEX('4 Kriterien'!$J$7:$J$135,MATCH(64,'4 Kriterien'!$M$7:$M$135,0))&amp;"","")="X","Muss","")</f>
        <v/>
      </c>
      <c r="G73" s="79"/>
      <c r="H73" s="79"/>
      <c r="I73" s="80"/>
    </row>
    <row r="74" spans="2:9" ht="39.75" customHeight="1" x14ac:dyDescent="0.2">
      <c r="B74" s="76" t="str">
        <f>IFERROR(INDEX('4 Kriterien'!$A$7:$A$135,MATCH(65,'4 Kriterien'!$M$7:$M$135,0))&amp;"","")</f>
        <v>E01</v>
      </c>
      <c r="C74" s="28" t="str">
        <f>IFERROR(INDEX('4 Kriterien'!$B$7:$B$135,MATCH(65,'4 Kriterien'!$M$7:$M$135,0))&amp;"","")</f>
        <v>Events &amp; Bankette</v>
      </c>
      <c r="D74" s="77" t="str">
        <f>IFERROR(INDEX('4 Kriterien'!$C$7:$C$135,MATCH(65,'4 Kriterien'!$M$7:$M$135,0))&amp;"","")</f>
        <v>Offerte &amp; Rechnung</v>
      </c>
      <c r="E74" s="60" t="str">
        <f>IFERROR(INDEX('4 Kriterien'!$D$7:$D$135,MATCH(65,'4 Kriterien'!$M$7:$M$135,0))&amp;"","")</f>
        <v>Werden Offerten und Rechnungen direkt aus dem System erstellt (MWST pro Position, QR-Rechnung)?</v>
      </c>
      <c r="F74" s="78" t="str">
        <f>IF(IFERROR(INDEX('4 Kriterien'!$J$7:$J$135,MATCH(65,'4 Kriterien'!$M$7:$M$135,0))&amp;"","")="X","Muss","")</f>
        <v/>
      </c>
      <c r="G74" s="79"/>
      <c r="H74" s="79"/>
      <c r="I74" s="80"/>
    </row>
    <row r="75" spans="2:9" ht="39.75" customHeight="1" x14ac:dyDescent="0.2">
      <c r="B75" s="76" t="str">
        <f>IFERROR(INDEX('4 Kriterien'!$A$7:$A$135,MATCH(66,'4 Kriterien'!$M$7:$M$135,0))&amp;"","")</f>
        <v>E02</v>
      </c>
      <c r="C75" s="28" t="str">
        <f>IFERROR(INDEX('4 Kriterien'!$B$7:$B$135,MATCH(66,'4 Kriterien'!$M$7:$M$135,0))&amp;"","")</f>
        <v>Events &amp; Bankette</v>
      </c>
      <c r="D75" s="77" t="str">
        <f>IFERROR(INDEX('4 Kriterien'!$C$7:$C$135,MATCH(66,'4 Kriterien'!$M$7:$M$135,0))&amp;"","")</f>
        <v>Digitale Offertannahme</v>
      </c>
      <c r="E75" s="60" t="str">
        <f>IFERROR(INDEX('4 Kriterien'!$D$7:$D$135,MATCH(66,'4 Kriterien'!$M$7:$M$135,0))&amp;"","")</f>
        <v>Kann die Kundschaft die Offerte online annehmen und bestätigen?</v>
      </c>
      <c r="F75" s="78" t="str">
        <f>IF(IFERROR(INDEX('4 Kriterien'!$J$7:$J$135,MATCH(66,'4 Kriterien'!$M$7:$M$135,0))&amp;"","")="X","Muss","")</f>
        <v/>
      </c>
      <c r="G75" s="79"/>
      <c r="H75" s="79"/>
      <c r="I75" s="80"/>
    </row>
    <row r="76" spans="2:9" ht="39.75" customHeight="1" x14ac:dyDescent="0.2">
      <c r="B76" s="76" t="str">
        <f>IFERROR(INDEX('4 Kriterien'!$A$7:$A$135,MATCH(67,'4 Kriterien'!$M$7:$M$135,0))&amp;"","")</f>
        <v>E03</v>
      </c>
      <c r="C76" s="28" t="str">
        <f>IFERROR(INDEX('4 Kriterien'!$B$7:$B$135,MATCH(67,'4 Kriterien'!$M$7:$M$135,0))&amp;"","")</f>
        <v>Events &amp; Bankette</v>
      </c>
      <c r="D76" s="77" t="str">
        <f>IFERROR(INDEX('4 Kriterien'!$C$7:$C$135,MATCH(67,'4 Kriterien'!$M$7:$M$135,0))&amp;"","")</f>
        <v>Raum- &amp; Ressourcenplanung</v>
      </c>
      <c r="E76" s="60" t="str">
        <f>IFERROR(INDEX('4 Kriterien'!$D$7:$D$135,MATCH(67,'4 Kriterien'!$M$7:$M$135,0))&amp;"","")</f>
        <v>Werden Räume, Mobiliar und Technik pro Anlass verwaltet? Werden Doppelbuchungen verhindert?</v>
      </c>
      <c r="F76" s="78" t="str">
        <f>IF(IFERROR(INDEX('4 Kriterien'!$J$7:$J$135,MATCH(67,'4 Kriterien'!$M$7:$M$135,0))&amp;"","")="X","Muss","")</f>
        <v/>
      </c>
      <c r="G76" s="79"/>
      <c r="H76" s="79"/>
      <c r="I76" s="80"/>
    </row>
    <row r="77" spans="2:9" ht="39.75" customHeight="1" x14ac:dyDescent="0.2">
      <c r="B77" s="76" t="str">
        <f>IFERROR(INDEX('4 Kriterien'!$A$7:$A$135,MATCH(68,'4 Kriterien'!$M$7:$M$135,0))&amp;"","")</f>
        <v>E04</v>
      </c>
      <c r="C77" s="28" t="str">
        <f>IFERROR(INDEX('4 Kriterien'!$B$7:$B$135,MATCH(68,'4 Kriterien'!$M$7:$M$135,0))&amp;"","")</f>
        <v>Events &amp; Bankette</v>
      </c>
      <c r="D77" s="77" t="str">
        <f>IFERROR(INDEX('4 Kriterien'!$C$7:$C$135,MATCH(68,'4 Kriterien'!$M$7:$M$135,0))&amp;"","")</f>
        <v>Bestuhlungs- &amp; Raumplan</v>
      </c>
      <c r="E77" s="60" t="str">
        <f>IFERROR(INDEX('4 Kriterien'!$D$7:$D$135,MATCH(68,'4 Kriterien'!$M$7:$M$135,0))&amp;"","")</f>
        <v>Lassen sich Bestuhlungsvarianten pro Anlass darstellen?</v>
      </c>
      <c r="F77" s="78" t="str">
        <f>IF(IFERROR(INDEX('4 Kriterien'!$J$7:$J$135,MATCH(68,'4 Kriterien'!$M$7:$M$135,0))&amp;"","")="X","Muss","")</f>
        <v/>
      </c>
      <c r="G77" s="79"/>
      <c r="H77" s="79"/>
      <c r="I77" s="80"/>
    </row>
    <row r="78" spans="2:9" ht="39.75" customHeight="1" x14ac:dyDescent="0.2">
      <c r="B78" s="76" t="str">
        <f>IFERROR(INDEX('4 Kriterien'!$A$7:$A$135,MATCH(69,'4 Kriterien'!$M$7:$M$135,0))&amp;"","")</f>
        <v>E05</v>
      </c>
      <c r="C78" s="28" t="str">
        <f>IFERROR(INDEX('4 Kriterien'!$B$7:$B$135,MATCH(69,'4 Kriterien'!$M$7:$M$135,0))&amp;"","")</f>
        <v>Events &amp; Bankette</v>
      </c>
      <c r="D78" s="77" t="str">
        <f>IFERROR(INDEX('4 Kriterien'!$C$7:$C$135,MATCH(69,'4 Kriterien'!$M$7:$M$135,0))&amp;"","")</f>
        <v>Ablaufblatt für Küche &amp; Service</v>
      </c>
      <c r="E78" s="60" t="str">
        <f>IFERROR(INDEX('4 Kriterien'!$D$7:$D$135,MATCH(69,'4 Kriterien'!$M$7:$M$135,0))&amp;"","")</f>
        <v>Erstellt das System ein Ablaufblatt (Function Sheet) mit Zeiten, Menü und Personenzahl?</v>
      </c>
      <c r="F78" s="78" t="str">
        <f>IF(IFERROR(INDEX('4 Kriterien'!$J$7:$J$135,MATCH(69,'4 Kriterien'!$M$7:$M$135,0))&amp;"","")="X","Muss","")</f>
        <v/>
      </c>
      <c r="G78" s="79"/>
      <c r="H78" s="79"/>
      <c r="I78" s="80"/>
    </row>
    <row r="79" spans="2:9" ht="39.75" customHeight="1" x14ac:dyDescent="0.2">
      <c r="B79" s="76" t="str">
        <f>IFERROR(INDEX('4 Kriterien'!$A$7:$A$135,MATCH(70,'4 Kriterien'!$M$7:$M$135,0))&amp;"","")</f>
        <v>E06</v>
      </c>
      <c r="C79" s="28" t="str">
        <f>IFERROR(INDEX('4 Kriterien'!$B$7:$B$135,MATCH(70,'4 Kriterien'!$M$7:$M$135,0))&amp;"","")</f>
        <v>Events &amp; Bankette</v>
      </c>
      <c r="D79" s="77" t="str">
        <f>IFERROR(INDEX('4 Kriterien'!$C$7:$C$135,MATCH(70,'4 Kriterien'!$M$7:$M$135,0))&amp;"","")</f>
        <v>Kundenverwaltung &amp; Historie</v>
      </c>
      <c r="E79" s="60" t="str">
        <f>IFERROR(INDEX('4 Kriterien'!$D$7:$D$135,MATCH(70,'4 Kriterien'!$M$7:$M$135,0))&amp;"","")</f>
        <v>Werden Firmen- und Privatkunden mit ihren Anlässen und Umsätzen geführt?</v>
      </c>
      <c r="F79" s="78" t="str">
        <f>IF(IFERROR(INDEX('4 Kriterien'!$J$7:$J$135,MATCH(70,'4 Kriterien'!$M$7:$M$135,0))&amp;"","")="X","Muss","")</f>
        <v/>
      </c>
      <c r="G79" s="79"/>
      <c r="H79" s="79"/>
      <c r="I79" s="80"/>
    </row>
    <row r="80" spans="2:9" ht="39.75" customHeight="1" x14ac:dyDescent="0.2">
      <c r="B80" s="76" t="str">
        <f>IFERROR(INDEX('4 Kriterien'!$A$7:$A$135,MATCH(71,'4 Kriterien'!$M$7:$M$135,0))&amp;"","")</f>
        <v>E07</v>
      </c>
      <c r="C80" s="28" t="str">
        <f>IFERROR(INDEX('4 Kriterien'!$B$7:$B$135,MATCH(71,'4 Kriterien'!$M$7:$M$135,0))&amp;"","")</f>
        <v>Events &amp; Bankette</v>
      </c>
      <c r="D80" s="77" t="str">
        <f>IFERROR(INDEX('4 Kriterien'!$C$7:$C$135,MATCH(71,'4 Kriterien'!$M$7:$M$135,0))&amp;"","")</f>
        <v>Partner &amp; Provisionen</v>
      </c>
      <c r="E80" s="60" t="str">
        <f>IFERROR(INDEX('4 Kriterien'!$D$7:$D$135,MATCH(71,'4 Kriterien'!$M$7:$M$135,0))&amp;"","")</f>
        <v>Lassen sich externe Partner (z. B. Blumen, Technik) und deren Provisionen erfassen?</v>
      </c>
      <c r="F80" s="78" t="str">
        <f>IF(IFERROR(INDEX('4 Kriterien'!$J$7:$J$135,MATCH(71,'4 Kriterien'!$M$7:$M$135,0))&amp;"","")="X","Muss","")</f>
        <v/>
      </c>
      <c r="G80" s="79"/>
      <c r="H80" s="79"/>
      <c r="I80" s="80"/>
    </row>
    <row r="81" spans="2:9" ht="39.75" customHeight="1" x14ac:dyDescent="0.2">
      <c r="B81" s="76" t="str">
        <f>IFERROR(INDEX('4 Kriterien'!$A$7:$A$135,MATCH(72,'4 Kriterien'!$M$7:$M$135,0))&amp;"","")</f>
        <v>O01</v>
      </c>
      <c r="C81" s="28" t="str">
        <f>IFERROR(INDEX('4 Kriterien'!$B$7:$B$135,MATCH(72,'4 Kriterien'!$M$7:$M$135,0))&amp;"","")</f>
        <v>Online-Bestellung &amp; Lieferung</v>
      </c>
      <c r="D81" s="77" t="str">
        <f>IFERROR(INDEX('4 Kriterien'!$C$7:$C$135,MATCH(72,'4 Kriterien'!$M$7:$M$135,0))&amp;"","")</f>
        <v>Eigener Bestellshop</v>
      </c>
      <c r="E81" s="60" t="str">
        <f>IFERROR(INDEX('4 Kriterien'!$D$7:$D$135,MATCH(72,'4 Kriterien'!$M$7:$M$135,0))&amp;"","")</f>
        <v>Gibt es einen eigenen Bestellshop für Take-away und Lieferung ohne Provision?</v>
      </c>
      <c r="F81" s="78" t="str">
        <f>IF(IFERROR(INDEX('4 Kriterien'!$J$7:$J$135,MATCH(72,'4 Kriterien'!$M$7:$M$135,0))&amp;"","")="X","Muss","")</f>
        <v/>
      </c>
      <c r="G81" s="79"/>
      <c r="H81" s="79"/>
      <c r="I81" s="80"/>
    </row>
    <row r="82" spans="2:9" ht="39.75" customHeight="1" x14ac:dyDescent="0.2">
      <c r="B82" s="76" t="str">
        <f>IFERROR(INDEX('4 Kriterien'!$A$7:$A$135,MATCH(73,'4 Kriterien'!$M$7:$M$135,0))&amp;"","")</f>
        <v>O02</v>
      </c>
      <c r="C82" s="28" t="str">
        <f>IFERROR(INDEX('4 Kriterien'!$B$7:$B$135,MATCH(73,'4 Kriterien'!$M$7:$M$135,0))&amp;"","")</f>
        <v>Online-Bestellung &amp; Lieferung</v>
      </c>
      <c r="D82" s="77" t="str">
        <f>IFERROR(INDEX('4 Kriterien'!$C$7:$C$135,MATCH(73,'4 Kriterien'!$M$7:$M$135,0))&amp;"","")</f>
        <v>Abholzeiten &amp; Kapazität</v>
      </c>
      <c r="E82" s="60" t="str">
        <f>IFERROR(INDEX('4 Kriterien'!$D$7:$D$135,MATCH(73,'4 Kriterien'!$M$7:$M$135,0))&amp;"","")</f>
        <v>Lassen sich Abholzeiten und die maximale Anzahl Bestellungen pro Zeitfenster steuern?</v>
      </c>
      <c r="F82" s="78" t="str">
        <f>IF(IFERROR(INDEX('4 Kriterien'!$J$7:$J$135,MATCH(73,'4 Kriterien'!$M$7:$M$135,0))&amp;"","")="X","Muss","")</f>
        <v/>
      </c>
      <c r="G82" s="79"/>
      <c r="H82" s="79"/>
      <c r="I82" s="80"/>
    </row>
    <row r="83" spans="2:9" ht="39.75" customHeight="1" x14ac:dyDescent="0.2">
      <c r="B83" s="76" t="str">
        <f>IFERROR(INDEX('4 Kriterien'!$A$7:$A$135,MATCH(74,'4 Kriterien'!$M$7:$M$135,0))&amp;"","")</f>
        <v>O03</v>
      </c>
      <c r="C83" s="28" t="str">
        <f>IFERROR(INDEX('4 Kriterien'!$B$7:$B$135,MATCH(74,'4 Kriterien'!$M$7:$M$135,0))&amp;"","")</f>
        <v>Online-Bestellung &amp; Lieferung</v>
      </c>
      <c r="D83" s="77" t="str">
        <f>IFERROR(INDEX('4 Kriterien'!$C$7:$C$135,MATCH(74,'4 Kriterien'!$M$7:$M$135,0))&amp;"","")</f>
        <v>Online-Zahlung</v>
      </c>
      <c r="E83" s="60" t="str">
        <f>IFERROR(INDEX('4 Kriterien'!$D$7:$D$135,MATCH(74,'4 Kriterien'!$M$7:$M$135,0))&amp;"","")</f>
        <v>Werden Online-Zahlungen (Karte, TWINT) direkt im Shop abgewickelt? Wie hoch sind die Gebühren?</v>
      </c>
      <c r="F83" s="78" t="str">
        <f>IF(IFERROR(INDEX('4 Kriterien'!$J$7:$J$135,MATCH(74,'4 Kriterien'!$M$7:$M$135,0))&amp;"","")="X","Muss","")</f>
        <v/>
      </c>
      <c r="G83" s="79"/>
      <c r="H83" s="79"/>
      <c r="I83" s="80"/>
    </row>
    <row r="84" spans="2:9" ht="39.75" customHeight="1" x14ac:dyDescent="0.2">
      <c r="B84" s="76" t="str">
        <f>IFERROR(INDEX('4 Kriterien'!$A$7:$A$135,MATCH(75,'4 Kriterien'!$M$7:$M$135,0))&amp;"","")</f>
        <v>O04</v>
      </c>
      <c r="C84" s="28" t="str">
        <f>IFERROR(INDEX('4 Kriterien'!$B$7:$B$135,MATCH(75,'4 Kriterien'!$M$7:$M$135,0))&amp;"","")</f>
        <v>Online-Bestellung &amp; Lieferung</v>
      </c>
      <c r="D84" s="77" t="str">
        <f>IFERROR(INDEX('4 Kriterien'!$C$7:$C$135,MATCH(75,'4 Kriterien'!$M$7:$M$135,0))&amp;"","")</f>
        <v>Artikel zentral pflegen</v>
      </c>
      <c r="E84" s="60" t="str">
        <f>IFERROR(INDEX('4 Kriterien'!$D$7:$D$135,MATCH(75,'4 Kriterien'!$M$7:$M$135,0))&amp;"","")</f>
        <v>Werden Artikel und Preise zentral gepflegt und automatisch auf alle Kanäle verteilt?</v>
      </c>
      <c r="F84" s="78" t="str">
        <f>IF(IFERROR(INDEX('4 Kriterien'!$J$7:$J$135,MATCH(75,'4 Kriterien'!$M$7:$M$135,0))&amp;"","")="X","Muss","")</f>
        <v/>
      </c>
      <c r="G84" s="79"/>
      <c r="H84" s="79"/>
      <c r="I84" s="80"/>
    </row>
    <row r="85" spans="2:9" ht="39.75" customHeight="1" x14ac:dyDescent="0.2">
      <c r="B85" s="76" t="str">
        <f>IFERROR(INDEX('4 Kriterien'!$A$7:$A$135,MATCH(76,'4 Kriterien'!$M$7:$M$135,0))&amp;"","")</f>
        <v>M01</v>
      </c>
      <c r="C85" s="28" t="str">
        <f>IFERROR(INDEX('4 Kriterien'!$B$7:$B$135,MATCH(76,'4 Kriterien'!$M$7:$M$135,0))&amp;"","")</f>
        <v>Gästebindung &amp; Marketing</v>
      </c>
      <c r="D85" s="77" t="str">
        <f>IFERROR(INDEX('4 Kriterien'!$C$7:$C$135,MATCH(76,'4 Kriterien'!$M$7:$M$135,0))&amp;"","")</f>
        <v>Gästedatenbank</v>
      </c>
      <c r="E85" s="60" t="str">
        <f>IFERROR(INDEX('4 Kriterien'!$D$7:$D$135,MATCH(76,'4 Kriterien'!$M$7:$M$135,0))&amp;"","")</f>
        <v>Werden Gästedaten zentral gespeichert, mit Einwilligung und Löschfunktion gemäss Datenschutzgesetz?</v>
      </c>
      <c r="F85" s="78" t="str">
        <f>IF(IFERROR(INDEX('4 Kriterien'!$J$7:$J$135,MATCH(76,'4 Kriterien'!$M$7:$M$135,0))&amp;"","")="X","Muss","")</f>
        <v/>
      </c>
      <c r="G85" s="79"/>
      <c r="H85" s="79"/>
      <c r="I85" s="80"/>
    </row>
    <row r="86" spans="2:9" ht="39.75" customHeight="1" x14ac:dyDescent="0.2">
      <c r="B86" s="76" t="str">
        <f>IFERROR(INDEX('4 Kriterien'!$A$7:$A$135,MATCH(77,'4 Kriterien'!$M$7:$M$135,0))&amp;"","")</f>
        <v>M02</v>
      </c>
      <c r="C86" s="28" t="str">
        <f>IFERROR(INDEX('4 Kriterien'!$B$7:$B$135,MATCH(77,'4 Kriterien'!$M$7:$M$135,0))&amp;"","")</f>
        <v>Gästebindung &amp; Marketing</v>
      </c>
      <c r="D86" s="77" t="str">
        <f>IFERROR(INDEX('4 Kriterien'!$C$7:$C$135,MATCH(77,'4 Kriterien'!$M$7:$M$135,0))&amp;"","")</f>
        <v>Newsletter &amp; Kampagnen</v>
      </c>
      <c r="E86" s="60" t="str">
        <f>IFERROR(INDEX('4 Kriterien'!$D$7:$D$135,MATCH(77,'4 Kriterien'!$M$7:$M$135,0))&amp;"","")</f>
        <v>Können Gäste gezielt per E-Mail oder SMS angesprochen werden (z. B. Geburtstag, Stammgäste)?</v>
      </c>
      <c r="F86" s="78" t="str">
        <f>IF(IFERROR(INDEX('4 Kriterien'!$J$7:$J$135,MATCH(77,'4 Kriterien'!$M$7:$M$135,0))&amp;"","")="X","Muss","")</f>
        <v/>
      </c>
      <c r="G86" s="79"/>
      <c r="H86" s="79"/>
      <c r="I86" s="80"/>
    </row>
    <row r="87" spans="2:9" ht="39.75" customHeight="1" x14ac:dyDescent="0.2">
      <c r="B87" s="76" t="str">
        <f>IFERROR(INDEX('4 Kriterien'!$A$7:$A$135,MATCH(78,'4 Kriterien'!$M$7:$M$135,0))&amp;"","")</f>
        <v>M03</v>
      </c>
      <c r="C87" s="28" t="str">
        <f>IFERROR(INDEX('4 Kriterien'!$B$7:$B$135,MATCH(78,'4 Kriterien'!$M$7:$M$135,0))&amp;"","")</f>
        <v>Gästebindung &amp; Marketing</v>
      </c>
      <c r="D87" s="77" t="str">
        <f>IFERROR(INDEX('4 Kriterien'!$C$7:$C$135,MATCH(78,'4 Kriterien'!$M$7:$M$135,0))&amp;"","")</f>
        <v>Kundenkarte &amp; Bonusprogramm</v>
      </c>
      <c r="E87" s="60" t="str">
        <f>IFERROR(INDEX('4 Kriterien'!$D$7:$D$135,MATCH(78,'4 Kriterien'!$M$7:$M$135,0))&amp;"","")</f>
        <v>Gibt es ein Bonusprogramm oder eine digitale Kundenkarte?</v>
      </c>
      <c r="F87" s="78" t="str">
        <f>IF(IFERROR(INDEX('4 Kriterien'!$J$7:$J$135,MATCH(78,'4 Kriterien'!$M$7:$M$135,0))&amp;"","")="X","Muss","")</f>
        <v/>
      </c>
      <c r="G87" s="79"/>
      <c r="H87" s="79"/>
      <c r="I87" s="80"/>
    </row>
    <row r="88" spans="2:9" ht="39.75" customHeight="1" x14ac:dyDescent="0.2">
      <c r="B88" s="76" t="str">
        <f>IFERROR(INDEX('4 Kriterien'!$A$7:$A$135,MATCH(79,'4 Kriterien'!$M$7:$M$135,0))&amp;"","")</f>
        <v>M04</v>
      </c>
      <c r="C88" s="28" t="str">
        <f>IFERROR(INDEX('4 Kriterien'!$B$7:$B$135,MATCH(79,'4 Kriterien'!$M$7:$M$135,0))&amp;"","")</f>
        <v>Gästebindung &amp; Marketing</v>
      </c>
      <c r="D88" s="77" t="str">
        <f>IFERROR(INDEX('4 Kriterien'!$C$7:$C$135,MATCH(79,'4 Kriterien'!$M$7:$M$135,0))&amp;"","")</f>
        <v>Online-Gutscheine</v>
      </c>
      <c r="E88" s="60" t="str">
        <f>IFERROR(INDEX('4 Kriterien'!$D$7:$D$135,MATCH(79,'4 Kriterien'!$M$7:$M$135,0))&amp;"","")</f>
        <v>Können Gutscheine online verkauft und an der Kasse eingelöst werden?</v>
      </c>
      <c r="F88" s="78" t="str">
        <f>IF(IFERROR(INDEX('4 Kriterien'!$J$7:$J$135,MATCH(79,'4 Kriterien'!$M$7:$M$135,0))&amp;"","")="X","Muss","")</f>
        <v/>
      </c>
      <c r="G88" s="79"/>
      <c r="H88" s="79"/>
      <c r="I88" s="80"/>
    </row>
    <row r="89" spans="2:9" ht="39.75" customHeight="1" x14ac:dyDescent="0.2">
      <c r="B89" s="76" t="str">
        <f>IFERROR(INDEX('4 Kriterien'!$A$7:$A$135,MATCH(80,'4 Kriterien'!$M$7:$M$135,0))&amp;"","")</f>
        <v>M05</v>
      </c>
      <c r="C89" s="28" t="str">
        <f>IFERROR(INDEX('4 Kriterien'!$B$7:$B$135,MATCH(80,'4 Kriterien'!$M$7:$M$135,0))&amp;"","")</f>
        <v>Gästebindung &amp; Marketing</v>
      </c>
      <c r="D89" s="77" t="str">
        <f>IFERROR(INDEX('4 Kriterien'!$C$7:$C$135,MATCH(80,'4 Kriterien'!$M$7:$M$135,0))&amp;"","")</f>
        <v>Bewertungen</v>
      </c>
      <c r="E89" s="60" t="str">
        <f>IFERROR(INDEX('4 Kriterien'!$D$7:$D$135,MATCH(80,'4 Kriterien'!$M$7:$M$135,0))&amp;"","")</f>
        <v>Werden Gäste nach dem Besuch um eine Bewertung gebeten? Werden Bewertungen gebündelt angezeigt?</v>
      </c>
      <c r="F89" s="78" t="str">
        <f>IF(IFERROR(INDEX('4 Kriterien'!$J$7:$J$135,MATCH(80,'4 Kriterien'!$M$7:$M$135,0))&amp;"","")="X","Muss","")</f>
        <v/>
      </c>
      <c r="G89" s="79"/>
      <c r="H89" s="79"/>
      <c r="I89" s="80"/>
    </row>
    <row r="90" spans="2:9" ht="39.75" customHeight="1" x14ac:dyDescent="0.2">
      <c r="B90" s="76" t="str">
        <f>IFERROR(INDEX('4 Kriterien'!$A$7:$A$135,MATCH(81,'4 Kriterien'!$M$7:$M$135,0))&amp;"","")</f>
        <v>X01</v>
      </c>
      <c r="C90" s="28" t="str">
        <f>IFERROR(INDEX('4 Kriterien'!$B$7:$B$135,MATCH(81,'4 Kriterien'!$M$7:$M$135,0))&amp;"","")</f>
        <v>Auswertung &amp; Reporting</v>
      </c>
      <c r="D90" s="77" t="str">
        <f>IFERROR(INDEX('4 Kriterien'!$C$7:$C$135,MATCH(81,'4 Kriterien'!$M$7:$M$135,0))&amp;"","")</f>
        <v>Umsatz in Echtzeit</v>
      </c>
      <c r="E90" s="60" t="str">
        <f>IFERROR(INDEX('4 Kriterien'!$D$7:$D$135,MATCH(81,'4 Kriterien'!$M$7:$M$135,0))&amp;"","")</f>
        <v>Sind Umsatz und Kennzahlen jederzeit live einsehbar, auch mobil?</v>
      </c>
      <c r="F90" s="78" t="str">
        <f>IF(IFERROR(INDEX('4 Kriterien'!$J$7:$J$135,MATCH(81,'4 Kriterien'!$M$7:$M$135,0))&amp;"","")="X","Muss","")</f>
        <v/>
      </c>
      <c r="G90" s="79"/>
      <c r="H90" s="79"/>
      <c r="I90" s="80"/>
    </row>
    <row r="91" spans="2:9" ht="39.75" customHeight="1" x14ac:dyDescent="0.2">
      <c r="B91" s="76" t="str">
        <f>IFERROR(INDEX('4 Kriterien'!$A$7:$A$135,MATCH(82,'4 Kriterien'!$M$7:$M$135,0))&amp;"","")</f>
        <v>X02</v>
      </c>
      <c r="C91" s="28" t="str">
        <f>IFERROR(INDEX('4 Kriterien'!$B$7:$B$135,MATCH(82,'4 Kriterien'!$M$7:$M$135,0))&amp;"","")</f>
        <v>Auswertung &amp; Reporting</v>
      </c>
      <c r="D91" s="77" t="str">
        <f>IFERROR(INDEX('4 Kriterien'!$C$7:$C$135,MATCH(82,'4 Kriterien'!$M$7:$M$135,0))&amp;"","")</f>
        <v>Standardberichte</v>
      </c>
      <c r="E91" s="60" t="str">
        <f>IFERROR(INDEX('4 Kriterien'!$D$7:$D$135,MATCH(82,'4 Kriterien'!$M$7:$M$135,0))&amp;"","")</f>
        <v>Welche Berichte gibt es (pro Stunde, Artikel, Mitarbeiter:in, Warengruppe, Zahlungsart)? Muster zeigen lassen.</v>
      </c>
      <c r="F91" s="78" t="str">
        <f>IF(IFERROR(INDEX('4 Kriterien'!$J$7:$J$135,MATCH(82,'4 Kriterien'!$M$7:$M$135,0))&amp;"","")="X","Muss","")</f>
        <v/>
      </c>
      <c r="G91" s="79"/>
      <c r="H91" s="79"/>
      <c r="I91" s="80"/>
    </row>
    <row r="92" spans="2:9" ht="39.75" customHeight="1" x14ac:dyDescent="0.2">
      <c r="B92" s="76" t="str">
        <f>IFERROR(INDEX('4 Kriterien'!$A$7:$A$135,MATCH(83,'4 Kriterien'!$M$7:$M$135,0))&amp;"","")</f>
        <v>X03</v>
      </c>
      <c r="C92" s="28" t="str">
        <f>IFERROR(INDEX('4 Kriterien'!$B$7:$B$135,MATCH(83,'4 Kriterien'!$M$7:$M$135,0))&amp;"","")</f>
        <v>Auswertung &amp; Reporting</v>
      </c>
      <c r="D92" s="77" t="str">
        <f>IFERROR(INDEX('4 Kriterien'!$C$7:$C$135,MATCH(83,'4 Kriterien'!$M$7:$M$135,0))&amp;"","")</f>
        <v>Eigene Auswertungen</v>
      </c>
      <c r="E92" s="60" t="str">
        <f>IFERROR(INDEX('4 Kriterien'!$D$7:$D$135,MATCH(83,'4 Kriterien'!$M$7:$M$135,0))&amp;"","")</f>
        <v>Lassen sich Berichte filtern, anpassen und als Excel exportieren?</v>
      </c>
      <c r="F92" s="78" t="str">
        <f>IF(IFERROR(INDEX('4 Kriterien'!$J$7:$J$135,MATCH(83,'4 Kriterien'!$M$7:$M$135,0))&amp;"","")="X","Muss","")</f>
        <v/>
      </c>
      <c r="G92" s="79"/>
      <c r="H92" s="79"/>
      <c r="I92" s="80"/>
    </row>
    <row r="93" spans="2:9" ht="39.75" customHeight="1" x14ac:dyDescent="0.2">
      <c r="B93" s="76" t="str">
        <f>IFERROR(INDEX('4 Kriterien'!$A$7:$A$135,MATCH(84,'4 Kriterien'!$M$7:$M$135,0))&amp;"","")</f>
        <v>X04</v>
      </c>
      <c r="C93" s="28" t="str">
        <f>IFERROR(INDEX('4 Kriterien'!$B$7:$B$135,MATCH(84,'4 Kriterien'!$M$7:$M$135,0))&amp;"","")</f>
        <v>Auswertung &amp; Reporting</v>
      </c>
      <c r="D93" s="77" t="str">
        <f>IFERROR(INDEX('4 Kriterien'!$C$7:$C$135,MATCH(84,'4 Kriterien'!$M$7:$M$135,0))&amp;"","")</f>
        <v>Dashboard mit Kennzahlen</v>
      </c>
      <c r="E93" s="60" t="str">
        <f>IFERROR(INDEX('4 Kriterien'!$D$7:$D$135,MATCH(84,'4 Kriterien'!$M$7:$M$135,0))&amp;"","")</f>
        <v>Gibt es ein Dashboard mit den wichtigsten Kennzahlen (z. B. Durchschnittsbon, Personalkostenquote, Auslastung)?</v>
      </c>
      <c r="F93" s="78" t="str">
        <f>IF(IFERROR(INDEX('4 Kriterien'!$J$7:$J$135,MATCH(84,'4 Kriterien'!$M$7:$M$135,0))&amp;"","")="X","Muss","")</f>
        <v/>
      </c>
      <c r="G93" s="79"/>
      <c r="H93" s="79"/>
      <c r="I93" s="80"/>
    </row>
    <row r="94" spans="2:9" ht="39.75" customHeight="1" x14ac:dyDescent="0.2">
      <c r="B94" s="76" t="str">
        <f>IFERROR(INDEX('4 Kriterien'!$A$7:$A$135,MATCH(85,'4 Kriterien'!$M$7:$M$135,0))&amp;"","")</f>
        <v>X05</v>
      </c>
      <c r="C94" s="28" t="str">
        <f>IFERROR(INDEX('4 Kriterien'!$B$7:$B$135,MATCH(85,'4 Kriterien'!$M$7:$M$135,0))&amp;"","")</f>
        <v>Auswertung &amp; Reporting</v>
      </c>
      <c r="D94" s="77" t="str">
        <f>IFERROR(INDEX('4 Kriterien'!$C$7:$C$135,MATCH(85,'4 Kriterien'!$M$7:$M$135,0))&amp;"","")</f>
        <v>Historie &amp; Vorjahresvergleich</v>
      </c>
      <c r="E94" s="60" t="str">
        <f>IFERROR(INDEX('4 Kriterien'!$D$7:$D$135,MATCH(85,'4 Kriterien'!$M$7:$M$135,0))&amp;"","")</f>
        <v>Wie lange bleiben Daten gespeichert? Sind Vergleiche mit Vorwoche und Vorjahr möglich?</v>
      </c>
      <c r="F94" s="78" t="str">
        <f>IF(IFERROR(INDEX('4 Kriterien'!$J$7:$J$135,MATCH(85,'4 Kriterien'!$M$7:$M$135,0))&amp;"","")="X","Muss","")</f>
        <v/>
      </c>
      <c r="G94" s="79"/>
      <c r="H94" s="79"/>
      <c r="I94" s="80"/>
    </row>
    <row r="95" spans="2:9" ht="39.75" customHeight="1" x14ac:dyDescent="0.2">
      <c r="B95" s="76" t="str">
        <f>IFERROR(INDEX('4 Kriterien'!$A$7:$A$135,MATCH(86,'4 Kriterien'!$M$7:$M$135,0))&amp;"","")</f>
        <v>X06</v>
      </c>
      <c r="C95" s="28" t="str">
        <f>IFERROR(INDEX('4 Kriterien'!$B$7:$B$135,MATCH(86,'4 Kriterien'!$M$7:$M$135,0))&amp;"","")</f>
        <v>Auswertung &amp; Reporting</v>
      </c>
      <c r="D95" s="77" t="str">
        <f>IFERROR(INDEX('4 Kriterien'!$C$7:$C$135,MATCH(86,'4 Kriterien'!$M$7:$M$135,0))&amp;"","")</f>
        <v>Standortvergleich</v>
      </c>
      <c r="E95" s="60" t="str">
        <f>IFERROR(INDEX('4 Kriterien'!$D$7:$D$135,MATCH(86,'4 Kriterien'!$M$7:$M$135,0))&amp;"","")</f>
        <v>Lassen sich die Kennzahlen mehrerer Standorte nebeneinander vergleichen?</v>
      </c>
      <c r="F95" s="78" t="str">
        <f>IF(IFERROR(INDEX('4 Kriterien'!$J$7:$J$135,MATCH(86,'4 Kriterien'!$M$7:$M$135,0))&amp;"","")="X","Muss","")</f>
        <v/>
      </c>
      <c r="G95" s="79"/>
      <c r="H95" s="79"/>
      <c r="I95" s="80"/>
    </row>
    <row r="96" spans="2:9" ht="39.75" customHeight="1" x14ac:dyDescent="0.2">
      <c r="B96" s="76" t="str">
        <f>IFERROR(INDEX('4 Kriterien'!$A$7:$A$135,MATCH(87,'4 Kriterien'!$M$7:$M$135,0))&amp;"","")</f>
        <v>S01</v>
      </c>
      <c r="C96" s="28" t="str">
        <f>IFERROR(INDEX('4 Kriterien'!$B$7:$B$135,MATCH(87,'4 Kriterien'!$M$7:$M$135,0))&amp;"","")</f>
        <v>Sicherheit &amp; Datenschutz</v>
      </c>
      <c r="D96" s="77" t="str">
        <f>IFERROR(INDEX('4 Kriterien'!$C$7:$C$135,MATCH(87,'4 Kriterien'!$M$7:$M$135,0))&amp;"","")</f>
        <v>Datenstandort</v>
      </c>
      <c r="E96" s="60" t="str">
        <f>IFERROR(INDEX('4 Kriterien'!$D$7:$D$135,MATCH(87,'4 Kriterien'!$M$7:$M$135,0))&amp;"","")</f>
        <v>Wo werden die Daten gespeichert (Schweiz, EU, andere)? Wer betreibt das Rechenzentrum?</v>
      </c>
      <c r="F96" s="78" t="str">
        <f>IF(IFERROR(INDEX('4 Kriterien'!$J$7:$J$135,MATCH(87,'4 Kriterien'!$M$7:$M$135,0))&amp;"","")="X","Muss","")</f>
        <v/>
      </c>
      <c r="G96" s="79"/>
      <c r="H96" s="79"/>
      <c r="I96" s="80"/>
    </row>
    <row r="97" spans="2:9" ht="39.75" customHeight="1" x14ac:dyDescent="0.2">
      <c r="B97" s="76" t="str">
        <f>IFERROR(INDEX('4 Kriterien'!$A$7:$A$135,MATCH(88,'4 Kriterien'!$M$7:$M$135,0))&amp;"","")</f>
        <v>S02</v>
      </c>
      <c r="C97" s="28" t="str">
        <f>IFERROR(INDEX('4 Kriterien'!$B$7:$B$135,MATCH(88,'4 Kriterien'!$M$7:$M$135,0))&amp;"","")</f>
        <v>Sicherheit &amp; Datenschutz</v>
      </c>
      <c r="D97" s="77" t="str">
        <f>IFERROR(INDEX('4 Kriterien'!$C$7:$C$135,MATCH(88,'4 Kriterien'!$M$7:$M$135,0))&amp;"","")</f>
        <v>Datenschutz (DSG / DSGVO)</v>
      </c>
      <c r="E97" s="60" t="str">
        <f>IFERROR(INDEX('4 Kriterien'!$D$7:$D$135,MATCH(88,'4 Kriterien'!$M$7:$M$135,0))&amp;"","")</f>
        <v>Erfüllt die Lösung das Schweizer Datenschutzgesetz? Gibt es einen Vertrag zur Auftragsbearbeitung?</v>
      </c>
      <c r="F97" s="78" t="str">
        <f>IF(IFERROR(INDEX('4 Kriterien'!$J$7:$J$135,MATCH(88,'4 Kriterien'!$M$7:$M$135,0))&amp;"","")="X","Muss","")</f>
        <v/>
      </c>
      <c r="G97" s="79"/>
      <c r="H97" s="79"/>
      <c r="I97" s="80"/>
    </row>
    <row r="98" spans="2:9" ht="39.75" customHeight="1" x14ac:dyDescent="0.2">
      <c r="B98" s="76" t="str">
        <f>IFERROR(INDEX('4 Kriterien'!$A$7:$A$135,MATCH(89,'4 Kriterien'!$M$7:$M$135,0))&amp;"","")</f>
        <v>S03</v>
      </c>
      <c r="C98" s="28" t="str">
        <f>IFERROR(INDEX('4 Kriterien'!$B$7:$B$135,MATCH(89,'4 Kriterien'!$M$7:$M$135,0))&amp;"","")</f>
        <v>Sicherheit &amp; Datenschutz</v>
      </c>
      <c r="D98" s="77" t="str">
        <f>IFERROR(INDEX('4 Kriterien'!$C$7:$C$135,MATCH(89,'4 Kriterien'!$M$7:$M$135,0))&amp;"","")</f>
        <v>Rollen &amp; Rechte</v>
      </c>
      <c r="E98" s="60" t="str">
        <f>IFERROR(INDEX('4 Kriterien'!$D$7:$D$135,MATCH(89,'4 Kriterien'!$M$7:$M$135,0))&amp;"","")</f>
        <v>Lassen sich Rechte pro Rolle vergeben (z. B. Storno nur durch die Leitung)? Wird protokolliert, wer was geändert hat?</v>
      </c>
      <c r="F98" s="78" t="str">
        <f>IF(IFERROR(INDEX('4 Kriterien'!$J$7:$J$135,MATCH(89,'4 Kriterien'!$M$7:$M$135,0))&amp;"","")="X","Muss","")</f>
        <v/>
      </c>
      <c r="G98" s="79"/>
      <c r="H98" s="79"/>
      <c r="I98" s="80"/>
    </row>
    <row r="99" spans="2:9" ht="39.75" customHeight="1" x14ac:dyDescent="0.2">
      <c r="B99" s="76" t="str">
        <f>IFERROR(INDEX('4 Kriterien'!$A$7:$A$135,MATCH(90,'4 Kriterien'!$M$7:$M$135,0))&amp;"","")</f>
        <v>S04</v>
      </c>
      <c r="C99" s="28" t="str">
        <f>IFERROR(INDEX('4 Kriterien'!$B$7:$B$135,MATCH(90,'4 Kriterien'!$M$7:$M$135,0))&amp;"","")</f>
        <v>Sicherheit &amp; Datenschutz</v>
      </c>
      <c r="D99" s="77" t="str">
        <f>IFERROR(INDEX('4 Kriterien'!$C$7:$C$135,MATCH(90,'4 Kriterien'!$M$7:$M$135,0))&amp;"","")</f>
        <v>Backup &amp; Wiederherstellung</v>
      </c>
      <c r="E99" s="60" t="str">
        <f>IFERROR(INDEX('4 Kriterien'!$D$7:$D$135,MATCH(90,'4 Kriterien'!$M$7:$M$135,0))&amp;"","")</f>
        <v>Wie oft werden die Daten gesichert? Wie schnell ist das System nach einem Ausfall wieder verfügbar?</v>
      </c>
      <c r="F99" s="78" t="str">
        <f>IF(IFERROR(INDEX('4 Kriterien'!$J$7:$J$135,MATCH(90,'4 Kriterien'!$M$7:$M$135,0))&amp;"","")="X","Muss","")</f>
        <v/>
      </c>
      <c r="G99" s="79"/>
      <c r="H99" s="79"/>
      <c r="I99" s="80"/>
    </row>
    <row r="100" spans="2:9" ht="39.75" customHeight="1" x14ac:dyDescent="0.2">
      <c r="B100" s="76" t="str">
        <f>IFERROR(INDEX('4 Kriterien'!$A$7:$A$135,MATCH(91,'4 Kriterien'!$M$7:$M$135,0))&amp;"","")</f>
        <v>S05</v>
      </c>
      <c r="C100" s="28" t="str">
        <f>IFERROR(INDEX('4 Kriterien'!$B$7:$B$135,MATCH(91,'4 Kriterien'!$M$7:$M$135,0))&amp;"","")</f>
        <v>Sicherheit &amp; Datenschutz</v>
      </c>
      <c r="D100" s="77" t="str">
        <f>IFERROR(INDEX('4 Kriterien'!$C$7:$C$135,MATCH(91,'4 Kriterien'!$M$7:$M$135,0))&amp;"","")</f>
        <v>Sicherheitsstandards</v>
      </c>
      <c r="E100" s="60" t="str">
        <f>IFERROR(INDEX('4 Kriterien'!$D$7:$D$135,MATCH(91,'4 Kriterien'!$M$7:$M$135,0))&amp;"","")</f>
        <v>Gibt es Zertifizierungen (z. B. ISO 27001), verschlüsselte Übertragung und eine Zwei-Faktor-Anmeldung?</v>
      </c>
      <c r="F100" s="78" t="str">
        <f>IF(IFERROR(INDEX('4 Kriterien'!$J$7:$J$135,MATCH(91,'4 Kriterien'!$M$7:$M$135,0))&amp;"","")="X","Muss","")</f>
        <v/>
      </c>
      <c r="G100" s="79"/>
      <c r="H100" s="79"/>
      <c r="I100" s="80"/>
    </row>
    <row r="101" spans="2:9" ht="39.75" customHeight="1" x14ac:dyDescent="0.2">
      <c r="B101" s="76" t="str">
        <f>IFERROR(INDEX('4 Kriterien'!$A$7:$A$135,MATCH(92,'4 Kriterien'!$M$7:$M$135,0))&amp;"","")</f>
        <v>G01</v>
      </c>
      <c r="C101" s="28" t="str">
        <f>IFERROR(INDEX('4 Kriterien'!$B$7:$B$135,MATCH(92,'4 Kriterien'!$M$7:$M$135,0))&amp;"","")</f>
        <v>Support &amp; Schulung</v>
      </c>
      <c r="D101" s="77" t="str">
        <f>IFERROR(INDEX('4 Kriterien'!$C$7:$C$135,MATCH(92,'4 Kriterien'!$M$7:$M$135,0))&amp;"","")</f>
        <v>Support zu Betriebszeiten</v>
      </c>
      <c r="E101" s="60" t="str">
        <f>IFERROR(INDEX('4 Kriterien'!$D$7:$D$135,MATCH(92,'4 Kriterien'!$M$7:$M$135,0))&amp;"","")</f>
        <v>Ist der Support erreichbar, wenn der Betrieb läuft, also auch abends, am Wochenende und an Feiertagen?</v>
      </c>
      <c r="F101" s="78" t="str">
        <f>IF(IFERROR(INDEX('4 Kriterien'!$J$7:$J$135,MATCH(92,'4 Kriterien'!$M$7:$M$135,0))&amp;"","")="X","Muss","")</f>
        <v/>
      </c>
      <c r="G101" s="79"/>
      <c r="H101" s="79"/>
      <c r="I101" s="80"/>
    </row>
    <row r="102" spans="2:9" ht="39.75" customHeight="1" x14ac:dyDescent="0.2">
      <c r="B102" s="76" t="str">
        <f>IFERROR(INDEX('4 Kriterien'!$A$7:$A$135,MATCH(93,'4 Kriterien'!$M$7:$M$135,0))&amp;"","")</f>
        <v>G02</v>
      </c>
      <c r="C102" s="28" t="str">
        <f>IFERROR(INDEX('4 Kriterien'!$B$7:$B$135,MATCH(93,'4 Kriterien'!$M$7:$M$135,0))&amp;"","")</f>
        <v>Support &amp; Schulung</v>
      </c>
      <c r="D102" s="77" t="str">
        <f>IFERROR(INDEX('4 Kriterien'!$C$7:$C$135,MATCH(93,'4 Kriterien'!$M$7:$M$135,0))&amp;"","")</f>
        <v>Reaktionszeit bei Ausfall</v>
      </c>
      <c r="E102" s="60" t="str">
        <f>IFERROR(INDEX('4 Kriterien'!$D$7:$D$135,MATCH(93,'4 Kriterien'!$M$7:$M$135,0))&amp;"","")</f>
        <v>Wie schnell reagiert der Support bei einem Ausfall? Ist das vertraglich zugesichert (SLA)?</v>
      </c>
      <c r="F102" s="78" t="str">
        <f>IF(IFERROR(INDEX('4 Kriterien'!$J$7:$J$135,MATCH(93,'4 Kriterien'!$M$7:$M$135,0))&amp;"","")="X","Muss","")</f>
        <v/>
      </c>
      <c r="G102" s="79"/>
      <c r="H102" s="79"/>
      <c r="I102" s="80"/>
    </row>
    <row r="103" spans="2:9" ht="39.75" customHeight="1" x14ac:dyDescent="0.2">
      <c r="B103" s="76" t="str">
        <f>IFERROR(INDEX('4 Kriterien'!$A$7:$A$135,MATCH(94,'4 Kriterien'!$M$7:$M$135,0))&amp;"","")</f>
        <v>G03</v>
      </c>
      <c r="C103" s="28" t="str">
        <f>IFERROR(INDEX('4 Kriterien'!$B$7:$B$135,MATCH(94,'4 Kriterien'!$M$7:$M$135,0))&amp;"","")</f>
        <v>Support &amp; Schulung</v>
      </c>
      <c r="D103" s="77" t="str">
        <f>IFERROR(INDEX('4 Kriterien'!$C$7:$C$135,MATCH(94,'4 Kriterien'!$M$7:$M$135,0))&amp;"","")</f>
        <v>Support-Kanäle &amp; Sprache</v>
      </c>
      <c r="E103" s="60" t="str">
        <f>IFERROR(INDEX('4 Kriterien'!$D$7:$D$135,MATCH(94,'4 Kriterien'!$M$7:$M$135,0))&amp;"","")</f>
        <v>Telefon, Chat oder E-Mail? In welcher Sprache? Kostet der Support extra?</v>
      </c>
      <c r="F103" s="78" t="str">
        <f>IF(IFERROR(INDEX('4 Kriterien'!$J$7:$J$135,MATCH(94,'4 Kriterien'!$M$7:$M$135,0))&amp;"","")="X","Muss","")</f>
        <v/>
      </c>
      <c r="G103" s="79"/>
      <c r="H103" s="79"/>
      <c r="I103" s="80"/>
    </row>
    <row r="104" spans="2:9" ht="39.75" customHeight="1" x14ac:dyDescent="0.2">
      <c r="B104" s="76" t="str">
        <f>IFERROR(INDEX('4 Kriterien'!$A$7:$A$135,MATCH(95,'4 Kriterien'!$M$7:$M$135,0))&amp;"","")</f>
        <v>G04</v>
      </c>
      <c r="C104" s="28" t="str">
        <f>IFERROR(INDEX('4 Kriterien'!$B$7:$B$135,MATCH(95,'4 Kriterien'!$M$7:$M$135,0))&amp;"","")</f>
        <v>Support &amp; Schulung</v>
      </c>
      <c r="D104" s="77" t="str">
        <f>IFERROR(INDEX('4 Kriterien'!$C$7:$C$135,MATCH(95,'4 Kriterien'!$M$7:$M$135,0))&amp;"","")</f>
        <v>Support vor Ort</v>
      </c>
      <c r="E104" s="60" t="str">
        <f>IFERROR(INDEX('4 Kriterien'!$D$7:$D$135,MATCH(95,'4 Kriterien'!$M$7:$M$135,0))&amp;"","")</f>
        <v>Gibt es Techniker:innen in der Region? Was kostet ein Einsatz vor Ort?</v>
      </c>
      <c r="F104" s="78" t="str">
        <f>IF(IFERROR(INDEX('4 Kriterien'!$J$7:$J$135,MATCH(95,'4 Kriterien'!$M$7:$M$135,0))&amp;"","")="X","Muss","")</f>
        <v/>
      </c>
      <c r="G104" s="79"/>
      <c r="H104" s="79"/>
      <c r="I104" s="80"/>
    </row>
    <row r="105" spans="2:9" ht="39.75" customHeight="1" x14ac:dyDescent="0.2">
      <c r="B105" s="76" t="str">
        <f>IFERROR(INDEX('4 Kriterien'!$A$7:$A$135,MATCH(96,'4 Kriterien'!$M$7:$M$135,0))&amp;"","")</f>
        <v>G05</v>
      </c>
      <c r="C105" s="28" t="str">
        <f>IFERROR(INDEX('4 Kriterien'!$B$7:$B$135,MATCH(96,'4 Kriterien'!$M$7:$M$135,0))&amp;"","")</f>
        <v>Support &amp; Schulung</v>
      </c>
      <c r="D105" s="77" t="str">
        <f>IFERROR(INDEX('4 Kriterien'!$C$7:$C$135,MATCH(96,'4 Kriterien'!$M$7:$M$135,0))&amp;"","")</f>
        <v>Einführung &amp; Schulung</v>
      </c>
      <c r="E105" s="60" t="str">
        <f>IFERROR(INDEX('4 Kriterien'!$D$7:$D$135,MATCH(96,'4 Kriterien'!$M$7:$M$135,0))&amp;"","")</f>
        <v>Wie läuft die Einführung ab (Dauer, vor Ort oder online)? Wer schult Mitarbeitende und Administration?</v>
      </c>
      <c r="F105" s="78" t="str">
        <f>IF(IFERROR(INDEX('4 Kriterien'!$J$7:$J$135,MATCH(96,'4 Kriterien'!$M$7:$M$135,0))&amp;"","")="X","Muss","")</f>
        <v/>
      </c>
      <c r="G105" s="79"/>
      <c r="H105" s="79"/>
      <c r="I105" s="80"/>
    </row>
    <row r="106" spans="2:9" ht="39.75" customHeight="1" x14ac:dyDescent="0.2">
      <c r="B106" s="76" t="str">
        <f>IFERROR(INDEX('4 Kriterien'!$A$7:$A$135,MATCH(97,'4 Kriterien'!$M$7:$M$135,0))&amp;"","")</f>
        <v>G06</v>
      </c>
      <c r="C106" s="28" t="str">
        <f>IFERROR(INDEX('4 Kriterien'!$B$7:$B$135,MATCH(97,'4 Kriterien'!$M$7:$M$135,0))&amp;"","")</f>
        <v>Support &amp; Schulung</v>
      </c>
      <c r="D106" s="77" t="str">
        <f>IFERROR(INDEX('4 Kriterien'!$C$7:$C$135,MATCH(97,'4 Kriterien'!$M$7:$M$135,0))&amp;"","")</f>
        <v>Schulungsmaterial</v>
      </c>
      <c r="E106" s="60" t="str">
        <f>IFERROR(INDEX('4 Kriterien'!$D$7:$D$135,MATCH(97,'4 Kriterien'!$M$7:$M$135,0))&amp;"","")</f>
        <v>Gibt es Anleitungen und Videos, z. B. für neue Mitarbeitende?</v>
      </c>
      <c r="F106" s="78" t="str">
        <f>IF(IFERROR(INDEX('4 Kriterien'!$J$7:$J$135,MATCH(97,'4 Kriterien'!$M$7:$M$135,0))&amp;"","")="X","Muss","")</f>
        <v/>
      </c>
      <c r="G106" s="79"/>
      <c r="H106" s="79"/>
      <c r="I106" s="80"/>
    </row>
    <row r="107" spans="2:9" ht="39.75" customHeight="1" x14ac:dyDescent="0.2">
      <c r="B107" s="76" t="str">
        <f>IFERROR(INDEX('4 Kriterien'!$A$7:$A$135,MATCH(98,'4 Kriterien'!$M$7:$M$135,0))&amp;"","")</f>
        <v>V01</v>
      </c>
      <c r="C107" s="28" t="str">
        <f>IFERROR(INDEX('4 Kriterien'!$B$7:$B$135,MATCH(98,'4 Kriterien'!$M$7:$M$135,0))&amp;"","")</f>
        <v>Anbieter &amp; Referenzen</v>
      </c>
      <c r="D107" s="77" t="str">
        <f>IFERROR(INDEX('4 Kriterien'!$C$7:$C$135,MATCH(98,'4 Kriterien'!$M$7:$M$135,0))&amp;"","")</f>
        <v>Referenzen ähnlicher Betriebe</v>
      </c>
      <c r="E107" s="60" t="str">
        <f>IFERROR(INDEX('4 Kriterien'!$D$7:$D$135,MATCH(98,'4 Kriterien'!$M$7:$M$135,0))&amp;"","")</f>
        <v>Kann der Anbieter 2 bis 3 Referenzen ähnlicher Grösse und Art nennen? Mindestens eine Referenz anrufen.</v>
      </c>
      <c r="F107" s="78" t="str">
        <f>IF(IFERROR(INDEX('4 Kriterien'!$J$7:$J$135,MATCH(98,'4 Kriterien'!$M$7:$M$135,0))&amp;"","")="X","Muss","")</f>
        <v/>
      </c>
      <c r="G107" s="79"/>
      <c r="H107" s="79"/>
      <c r="I107" s="80"/>
    </row>
    <row r="108" spans="2:9" ht="39.75" customHeight="1" x14ac:dyDescent="0.2">
      <c r="B108" s="76" t="str">
        <f>IFERROR(INDEX('4 Kriterien'!$A$7:$A$135,MATCH(99,'4 Kriterien'!$M$7:$M$135,0))&amp;"","")</f>
        <v>V02</v>
      </c>
      <c r="C108" s="28" t="str">
        <f>IFERROR(INDEX('4 Kriterien'!$B$7:$B$135,MATCH(99,'4 Kriterien'!$M$7:$M$135,0))&amp;"","")</f>
        <v>Anbieter &amp; Referenzen</v>
      </c>
      <c r="D108" s="77" t="str">
        <f>IFERROR(INDEX('4 Kriterien'!$C$7:$C$135,MATCH(99,'4 Kriterien'!$M$7:$M$135,0))&amp;"","")</f>
        <v>Präsenz in der Schweiz</v>
      </c>
      <c r="E108" s="60" t="str">
        <f>IFERROR(INDEX('4 Kriterien'!$D$7:$D$135,MATCH(99,'4 Kriterien'!$M$7:$M$135,0))&amp;"","")</f>
        <v>Hat der Anbieter Sitz, Support und Partner in der Schweiz?</v>
      </c>
      <c r="F108" s="78" t="str">
        <f>IF(IFERROR(INDEX('4 Kriterien'!$J$7:$J$135,MATCH(99,'4 Kriterien'!$M$7:$M$135,0))&amp;"","")="X","Muss","")</f>
        <v/>
      </c>
      <c r="G108" s="79"/>
      <c r="H108" s="79"/>
      <c r="I108" s="80"/>
    </row>
    <row r="109" spans="2:9" ht="39.75" customHeight="1" x14ac:dyDescent="0.2">
      <c r="B109" s="76" t="str">
        <f>IFERROR(INDEX('4 Kriterien'!$A$7:$A$135,MATCH(100,'4 Kriterien'!$M$7:$M$135,0))&amp;"","")</f>
        <v>V03</v>
      </c>
      <c r="C109" s="28" t="str">
        <f>IFERROR(INDEX('4 Kriterien'!$B$7:$B$135,MATCH(100,'4 Kriterien'!$M$7:$M$135,0))&amp;"","")</f>
        <v>Anbieter &amp; Referenzen</v>
      </c>
      <c r="D109" s="77" t="str">
        <f>IFERROR(INDEX('4 Kriterien'!$C$7:$C$135,MATCH(100,'4 Kriterien'!$M$7:$M$135,0))&amp;"","")</f>
        <v>Erfahrung im Gastgewerbe</v>
      </c>
      <c r="E109" s="60" t="str">
        <f>IFERROR(INDEX('4 Kriterien'!$D$7:$D$135,MATCH(100,'4 Kriterien'!$M$7:$M$135,0))&amp;"","")</f>
        <v>Seit wann ist die Lösung im Gastgewerbe im Einsatz? Wie viele Betriebe nutzen sie in der Schweiz?</v>
      </c>
      <c r="F109" s="78" t="str">
        <f>IF(IFERROR(INDEX('4 Kriterien'!$J$7:$J$135,MATCH(100,'4 Kriterien'!$M$7:$M$135,0))&amp;"","")="X","Muss","")</f>
        <v/>
      </c>
      <c r="G109" s="79"/>
      <c r="H109" s="79"/>
      <c r="I109" s="80"/>
    </row>
    <row r="110" spans="2:9" ht="39.75" customHeight="1" x14ac:dyDescent="0.2">
      <c r="B110" s="76" t="str">
        <f>IFERROR(INDEX('4 Kriterien'!$A$7:$A$135,MATCH(101,'4 Kriterien'!$M$7:$M$135,0))&amp;"","")</f>
        <v>V04</v>
      </c>
      <c r="C110" s="28" t="str">
        <f>IFERROR(INDEX('4 Kriterien'!$B$7:$B$135,MATCH(101,'4 Kriterien'!$M$7:$M$135,0))&amp;"","")</f>
        <v>Anbieter &amp; Referenzen</v>
      </c>
      <c r="D110" s="77" t="str">
        <f>IFERROR(INDEX('4 Kriterien'!$C$7:$C$135,MATCH(101,'4 Kriterien'!$M$7:$M$135,0))&amp;"","")</f>
        <v>Weiterentwicklung</v>
      </c>
      <c r="E110" s="60" t="str">
        <f>IFERROR(INDEX('4 Kriterien'!$D$7:$D$135,MATCH(101,'4 Kriterien'!$M$7:$M$135,0))&amp;"","")</f>
        <v>Gibt es eine Produkt-Roadmap? Wie oft kommen Updates? Fliessen Kundenwünsche ein?</v>
      </c>
      <c r="F110" s="78" t="str">
        <f>IF(IFERROR(INDEX('4 Kriterien'!$J$7:$J$135,MATCH(101,'4 Kriterien'!$M$7:$M$135,0))&amp;"","")="X","Muss","")</f>
        <v/>
      </c>
      <c r="G110" s="79"/>
      <c r="H110" s="79"/>
      <c r="I110" s="80"/>
    </row>
    <row r="111" spans="2:9" ht="39.75" customHeight="1" x14ac:dyDescent="0.2">
      <c r="B111" s="76" t="str">
        <f>IFERROR(INDEX('4 Kriterien'!$A$7:$A$135,MATCH(102,'4 Kriterien'!$M$7:$M$135,0))&amp;"","")</f>
        <v>V05</v>
      </c>
      <c r="C111" s="28" t="str">
        <f>IFERROR(INDEX('4 Kriterien'!$B$7:$B$135,MATCH(102,'4 Kriterien'!$M$7:$M$135,0))&amp;"","")</f>
        <v>Anbieter &amp; Referenzen</v>
      </c>
      <c r="D111" s="77" t="str">
        <f>IFERROR(INDEX('4 Kriterien'!$C$7:$C$135,MATCH(102,'4 Kriterien'!$M$7:$M$135,0))&amp;"","")</f>
        <v>Test im eigenen Betrieb</v>
      </c>
      <c r="E111" s="60" t="str">
        <f>IFERROR(INDEX('4 Kriterien'!$D$7:$D$135,MATCH(102,'4 Kriterien'!$M$7:$M$135,0))&amp;"","")</f>
        <v>Ist ein Test im eigenen Betrieb möglich, z. B. an einem Freitagabend?</v>
      </c>
      <c r="F111" s="78" t="str">
        <f>IF(IFERROR(INDEX('4 Kriterien'!$J$7:$J$135,MATCH(102,'4 Kriterien'!$M$7:$M$135,0))&amp;"","")="X","Muss","")</f>
        <v/>
      </c>
      <c r="G111" s="79"/>
      <c r="H111" s="79"/>
      <c r="I111" s="80"/>
    </row>
    <row r="112" spans="2:9" ht="39.75" customHeight="1" x14ac:dyDescent="0.2">
      <c r="B112" s="76" t="str">
        <f>IFERROR(INDEX('4 Kriterien'!$A$7:$A$135,MATCH(103,'4 Kriterien'!$M$7:$M$135,0))&amp;"","")</f>
        <v/>
      </c>
      <c r="C112" s="28" t="str">
        <f>IFERROR(INDEX('4 Kriterien'!$B$7:$B$135,MATCH(103,'4 Kriterien'!$M$7:$M$135,0))&amp;"","")</f>
        <v/>
      </c>
      <c r="D112" s="77" t="str">
        <f>IFERROR(INDEX('4 Kriterien'!$C$7:$C$135,MATCH(103,'4 Kriterien'!$M$7:$M$135,0))&amp;"","")</f>
        <v/>
      </c>
      <c r="E112" s="60" t="str">
        <f>IFERROR(INDEX('4 Kriterien'!$D$7:$D$135,MATCH(103,'4 Kriterien'!$M$7:$M$135,0))&amp;"","")</f>
        <v/>
      </c>
      <c r="F112" s="78" t="str">
        <f>IF(IFERROR(INDEX('4 Kriterien'!$J$7:$J$135,MATCH(103,'4 Kriterien'!$M$7:$M$135,0))&amp;"","")="X","Muss","")</f>
        <v/>
      </c>
      <c r="G112" s="79"/>
      <c r="H112" s="79"/>
      <c r="I112" s="80"/>
    </row>
    <row r="113" spans="2:9" ht="39.75" customHeight="1" x14ac:dyDescent="0.2">
      <c r="B113" s="76" t="str">
        <f>IFERROR(INDEX('4 Kriterien'!$A$7:$A$135,MATCH(104,'4 Kriterien'!$M$7:$M$135,0))&amp;"","")</f>
        <v/>
      </c>
      <c r="C113" s="28" t="str">
        <f>IFERROR(INDEX('4 Kriterien'!$B$7:$B$135,MATCH(104,'4 Kriterien'!$M$7:$M$135,0))&amp;"","")</f>
        <v/>
      </c>
      <c r="D113" s="77" t="str">
        <f>IFERROR(INDEX('4 Kriterien'!$C$7:$C$135,MATCH(104,'4 Kriterien'!$M$7:$M$135,0))&amp;"","")</f>
        <v/>
      </c>
      <c r="E113" s="60" t="str">
        <f>IFERROR(INDEX('4 Kriterien'!$D$7:$D$135,MATCH(104,'4 Kriterien'!$M$7:$M$135,0))&amp;"","")</f>
        <v/>
      </c>
      <c r="F113" s="78" t="str">
        <f>IF(IFERROR(INDEX('4 Kriterien'!$J$7:$J$135,MATCH(104,'4 Kriterien'!$M$7:$M$135,0))&amp;"","")="X","Muss","")</f>
        <v/>
      </c>
      <c r="G113" s="79"/>
      <c r="H113" s="79"/>
      <c r="I113" s="80"/>
    </row>
    <row r="114" spans="2:9" ht="39.75" customHeight="1" x14ac:dyDescent="0.2">
      <c r="B114" s="76" t="str">
        <f>IFERROR(INDEX('4 Kriterien'!$A$7:$A$135,MATCH(105,'4 Kriterien'!$M$7:$M$135,0))&amp;"","")</f>
        <v/>
      </c>
      <c r="C114" s="28" t="str">
        <f>IFERROR(INDEX('4 Kriterien'!$B$7:$B$135,MATCH(105,'4 Kriterien'!$M$7:$M$135,0))&amp;"","")</f>
        <v/>
      </c>
      <c r="D114" s="77" t="str">
        <f>IFERROR(INDEX('4 Kriterien'!$C$7:$C$135,MATCH(105,'4 Kriterien'!$M$7:$M$135,0))&amp;"","")</f>
        <v/>
      </c>
      <c r="E114" s="60" t="str">
        <f>IFERROR(INDEX('4 Kriterien'!$D$7:$D$135,MATCH(105,'4 Kriterien'!$M$7:$M$135,0))&amp;"","")</f>
        <v/>
      </c>
      <c r="F114" s="78" t="str">
        <f>IF(IFERROR(INDEX('4 Kriterien'!$J$7:$J$135,MATCH(105,'4 Kriterien'!$M$7:$M$135,0))&amp;"","")="X","Muss","")</f>
        <v/>
      </c>
      <c r="G114" s="79"/>
      <c r="H114" s="79"/>
      <c r="I114" s="80"/>
    </row>
    <row r="115" spans="2:9" ht="39.75" customHeight="1" x14ac:dyDescent="0.2">
      <c r="B115" s="76" t="str">
        <f>IFERROR(INDEX('4 Kriterien'!$A$7:$A$135,MATCH(106,'4 Kriterien'!$M$7:$M$135,0))&amp;"","")</f>
        <v/>
      </c>
      <c r="C115" s="28" t="str">
        <f>IFERROR(INDEX('4 Kriterien'!$B$7:$B$135,MATCH(106,'4 Kriterien'!$M$7:$M$135,0))&amp;"","")</f>
        <v/>
      </c>
      <c r="D115" s="77" t="str">
        <f>IFERROR(INDEX('4 Kriterien'!$C$7:$C$135,MATCH(106,'4 Kriterien'!$M$7:$M$135,0))&amp;"","")</f>
        <v/>
      </c>
      <c r="E115" s="60" t="str">
        <f>IFERROR(INDEX('4 Kriterien'!$D$7:$D$135,MATCH(106,'4 Kriterien'!$M$7:$M$135,0))&amp;"","")</f>
        <v/>
      </c>
      <c r="F115" s="78" t="str">
        <f>IF(IFERROR(INDEX('4 Kriterien'!$J$7:$J$135,MATCH(106,'4 Kriterien'!$M$7:$M$135,0))&amp;"","")="X","Muss","")</f>
        <v/>
      </c>
      <c r="G115" s="79"/>
      <c r="H115" s="79"/>
      <c r="I115" s="80"/>
    </row>
    <row r="116" spans="2:9" ht="39.75" customHeight="1" x14ac:dyDescent="0.2">
      <c r="B116" s="76" t="str">
        <f>IFERROR(INDEX('4 Kriterien'!$A$7:$A$135,MATCH(107,'4 Kriterien'!$M$7:$M$135,0))&amp;"","")</f>
        <v/>
      </c>
      <c r="C116" s="28" t="str">
        <f>IFERROR(INDEX('4 Kriterien'!$B$7:$B$135,MATCH(107,'4 Kriterien'!$M$7:$M$135,0))&amp;"","")</f>
        <v/>
      </c>
      <c r="D116" s="77" t="str">
        <f>IFERROR(INDEX('4 Kriterien'!$C$7:$C$135,MATCH(107,'4 Kriterien'!$M$7:$M$135,0))&amp;"","")</f>
        <v/>
      </c>
      <c r="E116" s="60" t="str">
        <f>IFERROR(INDEX('4 Kriterien'!$D$7:$D$135,MATCH(107,'4 Kriterien'!$M$7:$M$135,0))&amp;"","")</f>
        <v/>
      </c>
      <c r="F116" s="78" t="str">
        <f>IF(IFERROR(INDEX('4 Kriterien'!$J$7:$J$135,MATCH(107,'4 Kriterien'!$M$7:$M$135,0))&amp;"","")="X","Muss","")</f>
        <v/>
      </c>
      <c r="G116" s="79"/>
      <c r="H116" s="79"/>
      <c r="I116" s="80"/>
    </row>
    <row r="117" spans="2:9" ht="39.75" customHeight="1" x14ac:dyDescent="0.2">
      <c r="B117" s="76" t="str">
        <f>IFERROR(INDEX('4 Kriterien'!$A$7:$A$135,MATCH(108,'4 Kriterien'!$M$7:$M$135,0))&amp;"","")</f>
        <v/>
      </c>
      <c r="C117" s="28" t="str">
        <f>IFERROR(INDEX('4 Kriterien'!$B$7:$B$135,MATCH(108,'4 Kriterien'!$M$7:$M$135,0))&amp;"","")</f>
        <v/>
      </c>
      <c r="D117" s="77" t="str">
        <f>IFERROR(INDEX('4 Kriterien'!$C$7:$C$135,MATCH(108,'4 Kriterien'!$M$7:$M$135,0))&amp;"","")</f>
        <v/>
      </c>
      <c r="E117" s="60" t="str">
        <f>IFERROR(INDEX('4 Kriterien'!$D$7:$D$135,MATCH(108,'4 Kriterien'!$M$7:$M$135,0))&amp;"","")</f>
        <v/>
      </c>
      <c r="F117" s="78" t="str">
        <f>IF(IFERROR(INDEX('4 Kriterien'!$J$7:$J$135,MATCH(108,'4 Kriterien'!$M$7:$M$135,0))&amp;"","")="X","Muss","")</f>
        <v/>
      </c>
      <c r="G117" s="79"/>
      <c r="H117" s="79"/>
      <c r="I117" s="80"/>
    </row>
    <row r="118" spans="2:9" ht="39.75" customHeight="1" x14ac:dyDescent="0.2">
      <c r="B118" s="76" t="str">
        <f>IFERROR(INDEX('4 Kriterien'!$A$7:$A$135,MATCH(109,'4 Kriterien'!$M$7:$M$135,0))&amp;"","")</f>
        <v/>
      </c>
      <c r="C118" s="28" t="str">
        <f>IFERROR(INDEX('4 Kriterien'!$B$7:$B$135,MATCH(109,'4 Kriterien'!$M$7:$M$135,0))&amp;"","")</f>
        <v/>
      </c>
      <c r="D118" s="77" t="str">
        <f>IFERROR(INDEX('4 Kriterien'!$C$7:$C$135,MATCH(109,'4 Kriterien'!$M$7:$M$135,0))&amp;"","")</f>
        <v/>
      </c>
      <c r="E118" s="60" t="str">
        <f>IFERROR(INDEX('4 Kriterien'!$D$7:$D$135,MATCH(109,'4 Kriterien'!$M$7:$M$135,0))&amp;"","")</f>
        <v/>
      </c>
      <c r="F118" s="78" t="str">
        <f>IF(IFERROR(INDEX('4 Kriterien'!$J$7:$J$135,MATCH(109,'4 Kriterien'!$M$7:$M$135,0))&amp;"","")="X","Muss","")</f>
        <v/>
      </c>
      <c r="G118" s="79"/>
      <c r="H118" s="79"/>
      <c r="I118" s="80"/>
    </row>
    <row r="119" spans="2:9" ht="39.75" customHeight="1" x14ac:dyDescent="0.2">
      <c r="B119" s="76" t="str">
        <f>IFERROR(INDEX('4 Kriterien'!$A$7:$A$135,MATCH(110,'4 Kriterien'!$M$7:$M$135,0))&amp;"","")</f>
        <v/>
      </c>
      <c r="C119" s="28" t="str">
        <f>IFERROR(INDEX('4 Kriterien'!$B$7:$B$135,MATCH(110,'4 Kriterien'!$M$7:$M$135,0))&amp;"","")</f>
        <v/>
      </c>
      <c r="D119" s="77" t="str">
        <f>IFERROR(INDEX('4 Kriterien'!$C$7:$C$135,MATCH(110,'4 Kriterien'!$M$7:$M$135,0))&amp;"","")</f>
        <v/>
      </c>
      <c r="E119" s="60" t="str">
        <f>IFERROR(INDEX('4 Kriterien'!$D$7:$D$135,MATCH(110,'4 Kriterien'!$M$7:$M$135,0))&amp;"","")</f>
        <v/>
      </c>
      <c r="F119" s="78" t="str">
        <f>IF(IFERROR(INDEX('4 Kriterien'!$J$7:$J$135,MATCH(110,'4 Kriterien'!$M$7:$M$135,0))&amp;"","")="X","Muss","")</f>
        <v/>
      </c>
      <c r="G119" s="79"/>
      <c r="H119" s="79"/>
      <c r="I119" s="80"/>
    </row>
    <row r="120" spans="2:9" ht="39.75" customHeight="1" x14ac:dyDescent="0.2">
      <c r="B120" s="76" t="str">
        <f>IFERROR(INDEX('4 Kriterien'!$A$7:$A$135,MATCH(111,'4 Kriterien'!$M$7:$M$135,0))&amp;"","")</f>
        <v/>
      </c>
      <c r="C120" s="28" t="str">
        <f>IFERROR(INDEX('4 Kriterien'!$B$7:$B$135,MATCH(111,'4 Kriterien'!$M$7:$M$135,0))&amp;"","")</f>
        <v/>
      </c>
      <c r="D120" s="77" t="str">
        <f>IFERROR(INDEX('4 Kriterien'!$C$7:$C$135,MATCH(111,'4 Kriterien'!$M$7:$M$135,0))&amp;"","")</f>
        <v/>
      </c>
      <c r="E120" s="60" t="str">
        <f>IFERROR(INDEX('4 Kriterien'!$D$7:$D$135,MATCH(111,'4 Kriterien'!$M$7:$M$135,0))&amp;"","")</f>
        <v/>
      </c>
      <c r="F120" s="78" t="str">
        <f>IF(IFERROR(INDEX('4 Kriterien'!$J$7:$J$135,MATCH(111,'4 Kriterien'!$M$7:$M$135,0))&amp;"","")="X","Muss","")</f>
        <v/>
      </c>
      <c r="G120" s="79"/>
      <c r="H120" s="79"/>
      <c r="I120" s="80"/>
    </row>
    <row r="121" spans="2:9" ht="39.75" customHeight="1" x14ac:dyDescent="0.2">
      <c r="B121" s="76" t="str">
        <f>IFERROR(INDEX('4 Kriterien'!$A$7:$A$135,MATCH(112,'4 Kriterien'!$M$7:$M$135,0))&amp;"","")</f>
        <v/>
      </c>
      <c r="C121" s="28" t="str">
        <f>IFERROR(INDEX('4 Kriterien'!$B$7:$B$135,MATCH(112,'4 Kriterien'!$M$7:$M$135,0))&amp;"","")</f>
        <v/>
      </c>
      <c r="D121" s="77" t="str">
        <f>IFERROR(INDEX('4 Kriterien'!$C$7:$C$135,MATCH(112,'4 Kriterien'!$M$7:$M$135,0))&amp;"","")</f>
        <v/>
      </c>
      <c r="E121" s="60" t="str">
        <f>IFERROR(INDEX('4 Kriterien'!$D$7:$D$135,MATCH(112,'4 Kriterien'!$M$7:$M$135,0))&amp;"","")</f>
        <v/>
      </c>
      <c r="F121" s="78" t="str">
        <f>IF(IFERROR(INDEX('4 Kriterien'!$J$7:$J$135,MATCH(112,'4 Kriterien'!$M$7:$M$135,0))&amp;"","")="X","Muss","")</f>
        <v/>
      </c>
      <c r="G121" s="79"/>
      <c r="H121" s="79"/>
      <c r="I121" s="80"/>
    </row>
    <row r="122" spans="2:9" ht="39.75" customHeight="1" x14ac:dyDescent="0.2">
      <c r="B122" s="76" t="str">
        <f>IFERROR(INDEX('4 Kriterien'!$A$7:$A$135,MATCH(113,'4 Kriterien'!$M$7:$M$135,0))&amp;"","")</f>
        <v/>
      </c>
      <c r="C122" s="28" t="str">
        <f>IFERROR(INDEX('4 Kriterien'!$B$7:$B$135,MATCH(113,'4 Kriterien'!$M$7:$M$135,0))&amp;"","")</f>
        <v/>
      </c>
      <c r="D122" s="77" t="str">
        <f>IFERROR(INDEX('4 Kriterien'!$C$7:$C$135,MATCH(113,'4 Kriterien'!$M$7:$M$135,0))&amp;"","")</f>
        <v/>
      </c>
      <c r="E122" s="60" t="str">
        <f>IFERROR(INDEX('4 Kriterien'!$D$7:$D$135,MATCH(113,'4 Kriterien'!$M$7:$M$135,0))&amp;"","")</f>
        <v/>
      </c>
      <c r="F122" s="78" t="str">
        <f>IF(IFERROR(INDEX('4 Kriterien'!$J$7:$J$135,MATCH(113,'4 Kriterien'!$M$7:$M$135,0))&amp;"","")="X","Muss","")</f>
        <v/>
      </c>
      <c r="G122" s="79"/>
      <c r="H122" s="79"/>
      <c r="I122" s="80"/>
    </row>
  </sheetData>
  <mergeCells count="10">
    <mergeCell ref="B5:C5"/>
    <mergeCell ref="D5:E5"/>
    <mergeCell ref="B6:C6"/>
    <mergeCell ref="B7:I7"/>
    <mergeCell ref="B2:C2"/>
    <mergeCell ref="D2:E2"/>
    <mergeCell ref="B3:C3"/>
    <mergeCell ref="D3:E3"/>
    <mergeCell ref="B4:C4"/>
    <mergeCell ref="D4:E4"/>
  </mergeCells>
  <conditionalFormatting sqref="B10:F122">
    <cfRule type="expression" dxfId="33" priority="2">
      <formula>$D10&lt;&gt;""</formula>
    </cfRule>
  </conditionalFormatting>
  <conditionalFormatting sqref="G10:I122">
    <cfRule type="expression" dxfId="32" priority="3">
      <formula>$D10&lt;&gt;""</formula>
    </cfRule>
  </conditionalFormatting>
  <dataValidations count="1">
    <dataValidation type="date" operator="greaterThan" allowBlank="1" error="Bitte ein Datum eingeben (TT.MM.JJJJ)." sqref="D6" xr:uid="{00000000-0002-0000-0500-000000000000}">
      <formula1>36526</formula1>
      <formula2>0</formula2>
    </dataValidation>
  </dataValidations>
  <pageMargins left="0.4" right="0.4" top="0.5" bottom="0.5" header="0.511811023622047" footer="0.5"/>
  <pageSetup paperSize="9" fitToHeight="0" orientation="landscape" horizontalDpi="300" verticalDpi="300"/>
  <headerFooter>
    <oddFooter>&amp;L&amp;8 Dr. Koch · System-Check Software-Evaluation&amp;R&amp;8 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Ungültiger Wert" error="Bitte einen Wert aus der Liste wählen." xr:uid="{00000000-0002-0000-0500-000001000000}">
          <x14:formula1>
            <xm:f>Listen!$L$2:$L$4</xm:f>
          </x14:formula1>
          <x14:formula2>
            <xm:f>0</xm:f>
          </x14:formula2>
          <xm:sqref>G10:G122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3D36"/>
    <pageSetUpPr fitToPage="1"/>
  </sheetPr>
  <dimension ref="A1:Q144"/>
  <sheetViews>
    <sheetView showGridLines="0" zoomScaleNormal="100" workbookViewId="0">
      <pane xSplit="5" ySplit="15" topLeftCell="F16" activePane="bottomRight" state="frozen"/>
      <selection pane="topRight" activeCell="F1" sqref="F1"/>
      <selection pane="bottomLeft" activeCell="A16" sqref="A16"/>
      <selection pane="bottomRight"/>
    </sheetView>
  </sheetViews>
  <sheetFormatPr baseColWidth="10" defaultColWidth="8.6640625" defaultRowHeight="15" x14ac:dyDescent="0.2"/>
  <cols>
    <col min="1" max="1" width="6" customWidth="1"/>
    <col min="2" max="2" width="16" hidden="1" customWidth="1"/>
    <col min="3" max="3" width="34" customWidth="1"/>
    <col min="4" max="4" width="9" customWidth="1"/>
    <col min="5" max="5" width="6" customWidth="1"/>
    <col min="6" max="6" width="10" customWidth="1"/>
    <col min="7" max="7" width="8" customWidth="1"/>
    <col min="8" max="8" width="20" customWidth="1"/>
    <col min="9" max="9" width="10" customWidth="1"/>
    <col min="10" max="10" width="8" customWidth="1"/>
    <col min="11" max="11" width="20" customWidth="1"/>
    <col min="12" max="12" width="10" customWidth="1"/>
    <col min="13" max="13" width="8" customWidth="1"/>
    <col min="14" max="14" width="20" customWidth="1"/>
    <col min="15" max="15" width="10" customWidth="1"/>
    <col min="16" max="16" width="8" customWidth="1"/>
    <col min="17" max="17" width="20" customWidth="1"/>
  </cols>
  <sheetData>
    <row r="1" spans="1:17" ht="30" customHeight="1" x14ac:dyDescent="0.25">
      <c r="A1" s="31" t="s">
        <v>650</v>
      </c>
    </row>
    <row r="2" spans="1:17" x14ac:dyDescent="0.2">
      <c r="A2" s="17" t="s">
        <v>651</v>
      </c>
    </row>
    <row r="4" spans="1:17" ht="18" customHeight="1" x14ac:dyDescent="0.2">
      <c r="A4" s="3" t="s">
        <v>652</v>
      </c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8" customHeight="1" x14ac:dyDescent="0.2">
      <c r="A5" s="3" t="s">
        <v>653</v>
      </c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8" customHeight="1" x14ac:dyDescent="0.2">
      <c r="A6" s="3" t="s">
        <v>654</v>
      </c>
      <c r="B6" s="3"/>
      <c r="C6" s="3"/>
      <c r="D6" s="3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8" customHeight="1" x14ac:dyDescent="0.2">
      <c r="A7" s="3" t="s">
        <v>655</v>
      </c>
      <c r="B7" s="3"/>
      <c r="C7" s="3"/>
      <c r="D7" s="3"/>
      <c r="E7" s="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" customHeight="1" x14ac:dyDescent="0.2">
      <c r="A8" s="3" t="s">
        <v>656</v>
      </c>
      <c r="B8" s="3"/>
      <c r="C8" s="3"/>
      <c r="D8" s="3"/>
      <c r="E8" s="3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</row>
    <row r="9" spans="1:17" ht="18" customHeight="1" x14ac:dyDescent="0.2">
      <c r="A9" s="3" t="s">
        <v>657</v>
      </c>
      <c r="B9" s="3"/>
      <c r="C9" s="3"/>
      <c r="D9" s="3"/>
      <c r="E9" s="3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</row>
    <row r="10" spans="1:17" ht="18" customHeight="1" x14ac:dyDescent="0.2">
      <c r="A10" s="3" t="s">
        <v>658</v>
      </c>
      <c r="B10" s="3"/>
      <c r="C10" s="3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2" spans="1:17" ht="30" customHeight="1" x14ac:dyDescent="0.2">
      <c r="A12" s="97" t="s">
        <v>659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</row>
    <row r="14" spans="1:17" ht="21.75" customHeight="1" x14ac:dyDescent="0.2">
      <c r="A14" s="98" t="s">
        <v>49</v>
      </c>
      <c r="B14" s="98" t="s">
        <v>298</v>
      </c>
      <c r="C14" s="98" t="s">
        <v>299</v>
      </c>
      <c r="D14" s="98" t="s">
        <v>660</v>
      </c>
      <c r="E14" s="98" t="s">
        <v>305</v>
      </c>
      <c r="F14" s="99" t="str">
        <f>IF(F4="","Anbieter 1",F4)</f>
        <v>Anbieter 1</v>
      </c>
      <c r="G14" s="99"/>
      <c r="H14" s="99"/>
      <c r="I14" s="99" t="str">
        <f>IF(I4="","Anbieter 2",I4)</f>
        <v>Anbieter 2</v>
      </c>
      <c r="J14" s="99"/>
      <c r="K14" s="99"/>
      <c r="L14" s="99" t="str">
        <f>IF(L4="","Anbieter 3",L4)</f>
        <v>Anbieter 3</v>
      </c>
      <c r="M14" s="99"/>
      <c r="N14" s="99"/>
      <c r="O14" s="99" t="str">
        <f>IF(O4="","Anbieter 4",O4)</f>
        <v>Anbieter 4</v>
      </c>
      <c r="P14" s="99"/>
      <c r="Q14" s="99"/>
    </row>
    <row r="15" spans="1:17" ht="25.5" customHeight="1" x14ac:dyDescent="0.2">
      <c r="A15" s="98"/>
      <c r="B15" s="98"/>
      <c r="C15" s="98"/>
      <c r="D15" s="98"/>
      <c r="E15" s="98"/>
      <c r="F15" s="81" t="s">
        <v>661</v>
      </c>
      <c r="G15" s="81" t="s">
        <v>662</v>
      </c>
      <c r="H15" s="81" t="s">
        <v>307</v>
      </c>
      <c r="I15" s="81" t="s">
        <v>661</v>
      </c>
      <c r="J15" s="81" t="s">
        <v>662</v>
      </c>
      <c r="K15" s="81" t="s">
        <v>307</v>
      </c>
      <c r="L15" s="81" t="s">
        <v>661</v>
      </c>
      <c r="M15" s="81" t="s">
        <v>662</v>
      </c>
      <c r="N15" s="81" t="s">
        <v>307</v>
      </c>
      <c r="O15" s="81" t="s">
        <v>661</v>
      </c>
      <c r="P15" s="81" t="s">
        <v>662</v>
      </c>
      <c r="Q15" s="81" t="s">
        <v>307</v>
      </c>
    </row>
    <row r="16" spans="1:17" ht="19.5" customHeight="1" x14ac:dyDescent="0.2">
      <c r="A16" s="66" t="s">
        <v>309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spans="1:17" ht="16.5" customHeight="1" x14ac:dyDescent="0.2">
      <c r="A17" s="68" t="str">
        <f>'4 Kriterien'!A8</f>
        <v>A01</v>
      </c>
      <c r="B17" s="69" t="str">
        <f>'4 Kriterien'!B8</f>
        <v>Allgemein &amp; Bedienung</v>
      </c>
      <c r="C17" s="40" t="str">
        <f>IF('4 Kriterien'!C8="","",'4 Kriterien'!C8)</f>
        <v>Einfache Bedienung</v>
      </c>
      <c r="D17" s="82">
        <f>'4 Kriterien'!K8</f>
        <v>5</v>
      </c>
      <c r="E17" s="43" t="str">
        <f>IF('4 Kriterien'!J8="X","X","")</f>
        <v/>
      </c>
      <c r="F17" s="57"/>
      <c r="G17" s="82" t="str">
        <f t="shared" ref="G17:G26" si="0">IF(OR(NOT(ISNUMBER(F17)),$D17=0),"",$D17*F17)</f>
        <v/>
      </c>
      <c r="H17" s="34"/>
      <c r="I17" s="57"/>
      <c r="J17" s="82" t="str">
        <f t="shared" ref="J17:J26" si="1">IF(OR(NOT(ISNUMBER(I17)),$D17=0),"",$D17*I17)</f>
        <v/>
      </c>
      <c r="K17" s="34"/>
      <c r="L17" s="57"/>
      <c r="M17" s="82" t="str">
        <f t="shared" ref="M17:M26" si="2">IF(OR(NOT(ISNUMBER(L17)),$D17=0),"",$D17*L17)</f>
        <v/>
      </c>
      <c r="N17" s="34"/>
      <c r="O17" s="57"/>
      <c r="P17" s="82" t="str">
        <f t="shared" ref="P17:P26" si="3">IF(OR(NOT(ISNUMBER(O17)),$D17=0),"",$D17*O17)</f>
        <v/>
      </c>
      <c r="Q17" s="34"/>
    </row>
    <row r="18" spans="1:17" ht="16.5" customHeight="1" x14ac:dyDescent="0.2">
      <c r="A18" s="68" t="str">
        <f>'4 Kriterien'!A9</f>
        <v>A02</v>
      </c>
      <c r="B18" s="69" t="str">
        <f>'4 Kriterien'!B9</f>
        <v>Allgemein &amp; Bedienung</v>
      </c>
      <c r="C18" s="40" t="str">
        <f>IF('4 Kriterien'!C9="","",'4 Kriterien'!C9)</f>
        <v>Tempo im Stossbetrieb</v>
      </c>
      <c r="D18" s="82">
        <f>'4 Kriterien'!K9</f>
        <v>5</v>
      </c>
      <c r="E18" s="43" t="str">
        <f>IF('4 Kriterien'!J9="X","X","")</f>
        <v/>
      </c>
      <c r="F18" s="57"/>
      <c r="G18" s="82" t="str">
        <f t="shared" si="0"/>
        <v/>
      </c>
      <c r="H18" s="34"/>
      <c r="I18" s="57"/>
      <c r="J18" s="82" t="str">
        <f t="shared" si="1"/>
        <v/>
      </c>
      <c r="K18" s="34"/>
      <c r="L18" s="57"/>
      <c r="M18" s="82" t="str">
        <f t="shared" si="2"/>
        <v/>
      </c>
      <c r="N18" s="34"/>
      <c r="O18" s="57"/>
      <c r="P18" s="82" t="str">
        <f t="shared" si="3"/>
        <v/>
      </c>
      <c r="Q18" s="34"/>
    </row>
    <row r="19" spans="1:17" ht="16.5" customHeight="1" x14ac:dyDescent="0.2">
      <c r="A19" s="68" t="str">
        <f>'4 Kriterien'!A10</f>
        <v>A03</v>
      </c>
      <c r="B19" s="69" t="str">
        <f>'4 Kriterien'!B10</f>
        <v>Allgemein &amp; Bedienung</v>
      </c>
      <c r="C19" s="40" t="str">
        <f>IF('4 Kriterien'!C10="","",'4 Kriterien'!C10)</f>
        <v>Geräte &amp; Betriebssysteme</v>
      </c>
      <c r="D19" s="82">
        <f>'4 Kriterien'!K10</f>
        <v>3</v>
      </c>
      <c r="E19" s="43" t="str">
        <f>IF('4 Kriterien'!J10="X","X","")</f>
        <v/>
      </c>
      <c r="F19" s="57"/>
      <c r="G19" s="82" t="str">
        <f t="shared" si="0"/>
        <v/>
      </c>
      <c r="H19" s="34"/>
      <c r="I19" s="57"/>
      <c r="J19" s="82" t="str">
        <f t="shared" si="1"/>
        <v/>
      </c>
      <c r="K19" s="34"/>
      <c r="L19" s="57"/>
      <c r="M19" s="82" t="str">
        <f t="shared" si="2"/>
        <v/>
      </c>
      <c r="N19" s="34"/>
      <c r="O19" s="57"/>
      <c r="P19" s="82" t="str">
        <f t="shared" si="3"/>
        <v/>
      </c>
      <c r="Q19" s="34"/>
    </row>
    <row r="20" spans="1:17" ht="16.5" customHeight="1" x14ac:dyDescent="0.2">
      <c r="A20" s="68" t="str">
        <f>'4 Kriterien'!A11</f>
        <v>A04</v>
      </c>
      <c r="B20" s="69" t="str">
        <f>'4 Kriterien'!B11</f>
        <v>Allgemein &amp; Bedienung</v>
      </c>
      <c r="C20" s="40" t="str">
        <f>IF('4 Kriterien'!C11="","",'4 Kriterien'!C11)</f>
        <v>Mobile Nutzung</v>
      </c>
      <c r="D20" s="82">
        <f>'4 Kriterien'!K11</f>
        <v>3</v>
      </c>
      <c r="E20" s="43" t="str">
        <f>IF('4 Kriterien'!J11="X","X","")</f>
        <v/>
      </c>
      <c r="F20" s="57"/>
      <c r="G20" s="82" t="str">
        <f t="shared" si="0"/>
        <v/>
      </c>
      <c r="H20" s="34"/>
      <c r="I20" s="57"/>
      <c r="J20" s="82" t="str">
        <f t="shared" si="1"/>
        <v/>
      </c>
      <c r="K20" s="34"/>
      <c r="L20" s="57"/>
      <c r="M20" s="82" t="str">
        <f t="shared" si="2"/>
        <v/>
      </c>
      <c r="N20" s="34"/>
      <c r="O20" s="57"/>
      <c r="P20" s="82" t="str">
        <f t="shared" si="3"/>
        <v/>
      </c>
      <c r="Q20" s="34"/>
    </row>
    <row r="21" spans="1:17" ht="16.5" customHeight="1" x14ac:dyDescent="0.2">
      <c r="A21" s="68" t="str">
        <f>'4 Kriterien'!A12</f>
        <v>A05</v>
      </c>
      <c r="B21" s="69" t="str">
        <f>'4 Kriterien'!B12</f>
        <v>Allgemein &amp; Bedienung</v>
      </c>
      <c r="C21" s="40" t="str">
        <f>IF('4 Kriterien'!C12="","",'4 Kriterien'!C12)</f>
        <v>Cloud oder lokale Installation</v>
      </c>
      <c r="D21" s="82">
        <f>'4 Kriterien'!K12</f>
        <v>3</v>
      </c>
      <c r="E21" s="43" t="str">
        <f>IF('4 Kriterien'!J12="X","X","")</f>
        <v/>
      </c>
      <c r="F21" s="57"/>
      <c r="G21" s="82" t="str">
        <f t="shared" si="0"/>
        <v/>
      </c>
      <c r="H21" s="34"/>
      <c r="I21" s="57"/>
      <c r="J21" s="82" t="str">
        <f t="shared" si="1"/>
        <v/>
      </c>
      <c r="K21" s="34"/>
      <c r="L21" s="57"/>
      <c r="M21" s="82" t="str">
        <f t="shared" si="2"/>
        <v/>
      </c>
      <c r="N21" s="34"/>
      <c r="O21" s="57"/>
      <c r="P21" s="82" t="str">
        <f t="shared" si="3"/>
        <v/>
      </c>
      <c r="Q21" s="34"/>
    </row>
    <row r="22" spans="1:17" ht="16.5" customHeight="1" x14ac:dyDescent="0.2">
      <c r="A22" s="68" t="str">
        <f>'4 Kriterien'!A13</f>
        <v>A06</v>
      </c>
      <c r="B22" s="69" t="str">
        <f>'4 Kriterien'!B13</f>
        <v>Allgemein &amp; Bedienung</v>
      </c>
      <c r="C22" s="40" t="str">
        <f>IF('4 Kriterien'!C13="","",'4 Kriterien'!C13)</f>
        <v>Ausfallsicherheit &amp; Offline-Modus</v>
      </c>
      <c r="D22" s="82">
        <f>'4 Kriterien'!K13</f>
        <v>5</v>
      </c>
      <c r="E22" s="43" t="str">
        <f>IF('4 Kriterien'!J13="X","X","")</f>
        <v/>
      </c>
      <c r="F22" s="57"/>
      <c r="G22" s="82" t="str">
        <f t="shared" si="0"/>
        <v/>
      </c>
      <c r="H22" s="34"/>
      <c r="I22" s="57"/>
      <c r="J22" s="82" t="str">
        <f t="shared" si="1"/>
        <v/>
      </c>
      <c r="K22" s="34"/>
      <c r="L22" s="57"/>
      <c r="M22" s="82" t="str">
        <f t="shared" si="2"/>
        <v/>
      </c>
      <c r="N22" s="34"/>
      <c r="O22" s="57"/>
      <c r="P22" s="82" t="str">
        <f t="shared" si="3"/>
        <v/>
      </c>
      <c r="Q22" s="34"/>
    </row>
    <row r="23" spans="1:17" ht="16.5" customHeight="1" x14ac:dyDescent="0.2">
      <c r="A23" s="68" t="str">
        <f>'4 Kriterien'!A14</f>
        <v>A07</v>
      </c>
      <c r="B23" s="69" t="str">
        <f>'4 Kriterien'!B14</f>
        <v>Allgemein &amp; Bedienung</v>
      </c>
      <c r="C23" s="40" t="str">
        <f>IF('4 Kriterien'!C14="","",'4 Kriterien'!C14)</f>
        <v>Sprachen</v>
      </c>
      <c r="D23" s="82">
        <f>'4 Kriterien'!K14</f>
        <v>3</v>
      </c>
      <c r="E23" s="43" t="str">
        <f>IF('4 Kriterien'!J14="X","X","")</f>
        <v/>
      </c>
      <c r="F23" s="57"/>
      <c r="G23" s="82" t="str">
        <f t="shared" si="0"/>
        <v/>
      </c>
      <c r="H23" s="34"/>
      <c r="I23" s="57"/>
      <c r="J23" s="82" t="str">
        <f t="shared" si="1"/>
        <v/>
      </c>
      <c r="K23" s="34"/>
      <c r="L23" s="57"/>
      <c r="M23" s="82" t="str">
        <f t="shared" si="2"/>
        <v/>
      </c>
      <c r="N23" s="34"/>
      <c r="O23" s="57"/>
      <c r="P23" s="82" t="str">
        <f t="shared" si="3"/>
        <v/>
      </c>
      <c r="Q23" s="34"/>
    </row>
    <row r="24" spans="1:17" ht="16.5" customHeight="1" x14ac:dyDescent="0.2">
      <c r="A24" s="68" t="str">
        <f>'4 Kriterien'!A15</f>
        <v>A08</v>
      </c>
      <c r="B24" s="69" t="str">
        <f>'4 Kriterien'!B15</f>
        <v>Allgemein &amp; Bedienung</v>
      </c>
      <c r="C24" s="40" t="str">
        <f>IF('4 Kriterien'!C15="","",'4 Kriterien'!C15)</f>
        <v>Anpassbarkeit</v>
      </c>
      <c r="D24" s="82">
        <f>'4 Kriterien'!K15</f>
        <v>3</v>
      </c>
      <c r="E24" s="43" t="str">
        <f>IF('4 Kriterien'!J15="X","X","")</f>
        <v/>
      </c>
      <c r="F24" s="57"/>
      <c r="G24" s="82" t="str">
        <f t="shared" si="0"/>
        <v/>
      </c>
      <c r="H24" s="34"/>
      <c r="I24" s="57"/>
      <c r="J24" s="82" t="str">
        <f t="shared" si="1"/>
        <v/>
      </c>
      <c r="K24" s="34"/>
      <c r="L24" s="57"/>
      <c r="M24" s="82" t="str">
        <f t="shared" si="2"/>
        <v/>
      </c>
      <c r="N24" s="34"/>
      <c r="O24" s="57"/>
      <c r="P24" s="82" t="str">
        <f t="shared" si="3"/>
        <v/>
      </c>
      <c r="Q24" s="34"/>
    </row>
    <row r="25" spans="1:17" ht="16.5" customHeight="1" x14ac:dyDescent="0.2">
      <c r="A25" s="68" t="str">
        <f>'4 Kriterien'!A16</f>
        <v>A09</v>
      </c>
      <c r="B25" s="69" t="str">
        <f>'4 Kriterien'!B16</f>
        <v>Allgemein &amp; Bedienung</v>
      </c>
      <c r="C25" s="40" t="str">
        <f>IF('4 Kriterien'!C16="","",'4 Kriterien'!C16)</f>
        <v>Skalierbarkeit</v>
      </c>
      <c r="D25" s="82">
        <f>'4 Kriterien'!K16</f>
        <v>3</v>
      </c>
      <c r="E25" s="43" t="str">
        <f>IF('4 Kriterien'!J16="X","X","")</f>
        <v/>
      </c>
      <c r="F25" s="57"/>
      <c r="G25" s="82" t="str">
        <f t="shared" si="0"/>
        <v/>
      </c>
      <c r="H25" s="34"/>
      <c r="I25" s="57"/>
      <c r="J25" s="82" t="str">
        <f t="shared" si="1"/>
        <v/>
      </c>
      <c r="K25" s="34"/>
      <c r="L25" s="57"/>
      <c r="M25" s="82" t="str">
        <f t="shared" si="2"/>
        <v/>
      </c>
      <c r="N25" s="34"/>
      <c r="O25" s="57"/>
      <c r="P25" s="82" t="str">
        <f t="shared" si="3"/>
        <v/>
      </c>
      <c r="Q25" s="34"/>
    </row>
    <row r="26" spans="1:17" ht="16.5" customHeight="1" x14ac:dyDescent="0.2">
      <c r="A26" s="68" t="str">
        <f>'4 Kriterien'!A17</f>
        <v>A10</v>
      </c>
      <c r="B26" s="69" t="str">
        <f>'4 Kriterien'!B17</f>
        <v>Allgemein &amp; Bedienung</v>
      </c>
      <c r="C26" s="40" t="str">
        <f>IF('4 Kriterien'!C17="","",'4 Kriterien'!C17)</f>
        <v>Mehrere Standorte</v>
      </c>
      <c r="D26" s="82">
        <f>'4 Kriterien'!K17</f>
        <v>5</v>
      </c>
      <c r="E26" s="43" t="str">
        <f>IF('4 Kriterien'!J17="X","X","")</f>
        <v/>
      </c>
      <c r="F26" s="57"/>
      <c r="G26" s="82" t="str">
        <f t="shared" si="0"/>
        <v/>
      </c>
      <c r="H26" s="34"/>
      <c r="I26" s="57"/>
      <c r="J26" s="82" t="str">
        <f t="shared" si="1"/>
        <v/>
      </c>
      <c r="K26" s="34"/>
      <c r="L26" s="57"/>
      <c r="M26" s="82" t="str">
        <f t="shared" si="2"/>
        <v/>
      </c>
      <c r="N26" s="34"/>
      <c r="O26" s="57"/>
      <c r="P26" s="82" t="str">
        <f t="shared" si="3"/>
        <v/>
      </c>
      <c r="Q26" s="34"/>
    </row>
    <row r="27" spans="1:17" ht="19.5" customHeight="1" x14ac:dyDescent="0.2">
      <c r="A27" s="66" t="s">
        <v>339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spans="1:17" ht="16.5" customHeight="1" x14ac:dyDescent="0.2">
      <c r="A28" s="68" t="str">
        <f>'4 Kriterien'!A19</f>
        <v>B01</v>
      </c>
      <c r="B28" s="69" t="str">
        <f>'4 Kriterien'!B19</f>
        <v>Kosten &amp; Vertrag</v>
      </c>
      <c r="C28" s="40" t="str">
        <f>IF('4 Kriterien'!C19="","",'4 Kriterien'!C19)</f>
        <v>Einmalige Kosten transparent</v>
      </c>
      <c r="D28" s="82">
        <f>'4 Kriterien'!K19</f>
        <v>5</v>
      </c>
      <c r="E28" s="43" t="str">
        <f>IF('4 Kriterien'!J19="X","X","")</f>
        <v/>
      </c>
      <c r="F28" s="57"/>
      <c r="G28" s="82" t="str">
        <f t="shared" ref="G28:G36" si="4">IF(OR(NOT(ISNUMBER(F28)),$D28=0),"",$D28*F28)</f>
        <v/>
      </c>
      <c r="H28" s="34"/>
      <c r="I28" s="57"/>
      <c r="J28" s="82" t="str">
        <f t="shared" ref="J28:J36" si="5">IF(OR(NOT(ISNUMBER(I28)),$D28=0),"",$D28*I28)</f>
        <v/>
      </c>
      <c r="K28" s="34"/>
      <c r="L28" s="57"/>
      <c r="M28" s="82" t="str">
        <f t="shared" ref="M28:M36" si="6">IF(OR(NOT(ISNUMBER(L28)),$D28=0),"",$D28*L28)</f>
        <v/>
      </c>
      <c r="N28" s="34"/>
      <c r="O28" s="57"/>
      <c r="P28" s="82" t="str">
        <f t="shared" ref="P28:P36" si="7">IF(OR(NOT(ISNUMBER(O28)),$D28=0),"",$D28*O28)</f>
        <v/>
      </c>
      <c r="Q28" s="34"/>
    </row>
    <row r="29" spans="1:17" ht="16.5" customHeight="1" x14ac:dyDescent="0.2">
      <c r="A29" s="68" t="str">
        <f>'4 Kriterien'!A20</f>
        <v>B02</v>
      </c>
      <c r="B29" s="69" t="str">
        <f>'4 Kriterien'!B20</f>
        <v>Kosten &amp; Vertrag</v>
      </c>
      <c r="C29" s="40" t="str">
        <f>IF('4 Kriterien'!C20="","",'4 Kriterien'!C20)</f>
        <v>Laufende Kosten transparent</v>
      </c>
      <c r="D29" s="82">
        <f>'4 Kriterien'!K20</f>
        <v>5</v>
      </c>
      <c r="E29" s="43" t="str">
        <f>IF('4 Kriterien'!J20="X","X","")</f>
        <v/>
      </c>
      <c r="F29" s="57"/>
      <c r="G29" s="82" t="str">
        <f t="shared" si="4"/>
        <v/>
      </c>
      <c r="H29" s="34"/>
      <c r="I29" s="57"/>
      <c r="J29" s="82" t="str">
        <f t="shared" si="5"/>
        <v/>
      </c>
      <c r="K29" s="34"/>
      <c r="L29" s="57"/>
      <c r="M29" s="82" t="str">
        <f t="shared" si="6"/>
        <v/>
      </c>
      <c r="N29" s="34"/>
      <c r="O29" s="57"/>
      <c r="P29" s="82" t="str">
        <f t="shared" si="7"/>
        <v/>
      </c>
      <c r="Q29" s="34"/>
    </row>
    <row r="30" spans="1:17" ht="16.5" customHeight="1" x14ac:dyDescent="0.2">
      <c r="A30" s="68" t="str">
        <f>'4 Kriterien'!A21</f>
        <v>B03</v>
      </c>
      <c r="B30" s="69" t="str">
        <f>'4 Kriterien'!B21</f>
        <v>Kosten &amp; Vertrag</v>
      </c>
      <c r="C30" s="40" t="str">
        <f>IF('4 Kriterien'!C21="","",'4 Kriterien'!C21)</f>
        <v>Passendes Lizenzmodell</v>
      </c>
      <c r="D30" s="82">
        <f>'4 Kriterien'!K21</f>
        <v>3</v>
      </c>
      <c r="E30" s="43" t="str">
        <f>IF('4 Kriterien'!J21="X","X","")</f>
        <v/>
      </c>
      <c r="F30" s="57"/>
      <c r="G30" s="82" t="str">
        <f t="shared" si="4"/>
        <v/>
      </c>
      <c r="H30" s="34"/>
      <c r="I30" s="57"/>
      <c r="J30" s="82" t="str">
        <f t="shared" si="5"/>
        <v/>
      </c>
      <c r="K30" s="34"/>
      <c r="L30" s="57"/>
      <c r="M30" s="82" t="str">
        <f t="shared" si="6"/>
        <v/>
      </c>
      <c r="N30" s="34"/>
      <c r="O30" s="57"/>
      <c r="P30" s="82" t="str">
        <f t="shared" si="7"/>
        <v/>
      </c>
      <c r="Q30" s="34"/>
    </row>
    <row r="31" spans="1:17" ht="16.5" customHeight="1" x14ac:dyDescent="0.2">
      <c r="A31" s="68" t="str">
        <f>'4 Kriterien'!A22</f>
        <v>B04</v>
      </c>
      <c r="B31" s="69" t="str">
        <f>'4 Kriterien'!B22</f>
        <v>Kosten &amp; Vertrag</v>
      </c>
      <c r="C31" s="40" t="str">
        <f>IF('4 Kriterien'!C22="","",'4 Kriterien'!C22)</f>
        <v>Transaktions- und Zusatzgebühren</v>
      </c>
      <c r="D31" s="82">
        <f>'4 Kriterien'!K22</f>
        <v>5</v>
      </c>
      <c r="E31" s="43" t="str">
        <f>IF('4 Kriterien'!J22="X","X","")</f>
        <v/>
      </c>
      <c r="F31" s="57"/>
      <c r="G31" s="82" t="str">
        <f t="shared" si="4"/>
        <v/>
      </c>
      <c r="H31" s="34"/>
      <c r="I31" s="57"/>
      <c r="J31" s="82" t="str">
        <f t="shared" si="5"/>
        <v/>
      </c>
      <c r="K31" s="34"/>
      <c r="L31" s="57"/>
      <c r="M31" s="82" t="str">
        <f t="shared" si="6"/>
        <v/>
      </c>
      <c r="N31" s="34"/>
      <c r="O31" s="57"/>
      <c r="P31" s="82" t="str">
        <f t="shared" si="7"/>
        <v/>
      </c>
      <c r="Q31" s="34"/>
    </row>
    <row r="32" spans="1:17" ht="16.5" customHeight="1" x14ac:dyDescent="0.2">
      <c r="A32" s="68" t="str">
        <f>'4 Kriterien'!A23</f>
        <v>B05</v>
      </c>
      <c r="B32" s="69" t="str">
        <f>'4 Kriterien'!B23</f>
        <v>Kosten &amp; Vertrag</v>
      </c>
      <c r="C32" s="40" t="str">
        <f>IF('4 Kriterien'!C23="","",'4 Kriterien'!C23)</f>
        <v>Laufzeit &amp; Kündigungsfrist</v>
      </c>
      <c r="D32" s="82">
        <f>'4 Kriterien'!K23</f>
        <v>5</v>
      </c>
      <c r="E32" s="43" t="str">
        <f>IF('4 Kriterien'!J23="X","X","")</f>
        <v/>
      </c>
      <c r="F32" s="57"/>
      <c r="G32" s="82" t="str">
        <f t="shared" si="4"/>
        <v/>
      </c>
      <c r="H32" s="34"/>
      <c r="I32" s="57"/>
      <c r="J32" s="82" t="str">
        <f t="shared" si="5"/>
        <v/>
      </c>
      <c r="K32" s="34"/>
      <c r="L32" s="57"/>
      <c r="M32" s="82" t="str">
        <f t="shared" si="6"/>
        <v/>
      </c>
      <c r="N32" s="34"/>
      <c r="O32" s="57"/>
      <c r="P32" s="82" t="str">
        <f t="shared" si="7"/>
        <v/>
      </c>
      <c r="Q32" s="34"/>
    </row>
    <row r="33" spans="1:17" ht="16.5" customHeight="1" x14ac:dyDescent="0.2">
      <c r="A33" s="68" t="str">
        <f>'4 Kriterien'!A24</f>
        <v>B06</v>
      </c>
      <c r="B33" s="69" t="str">
        <f>'4 Kriterien'!B24</f>
        <v>Kosten &amp; Vertrag</v>
      </c>
      <c r="C33" s="40" t="str">
        <f>IF('4 Kriterien'!C24="","",'4 Kriterien'!C24)</f>
        <v>Preisanpassungen begrenzt</v>
      </c>
      <c r="D33" s="82">
        <f>'4 Kriterien'!K24</f>
        <v>3</v>
      </c>
      <c r="E33" s="43" t="str">
        <f>IF('4 Kriterien'!J24="X","X","")</f>
        <v/>
      </c>
      <c r="F33" s="57"/>
      <c r="G33" s="82" t="str">
        <f t="shared" si="4"/>
        <v/>
      </c>
      <c r="H33" s="34"/>
      <c r="I33" s="57"/>
      <c r="J33" s="82" t="str">
        <f t="shared" si="5"/>
        <v/>
      </c>
      <c r="K33" s="34"/>
      <c r="L33" s="57"/>
      <c r="M33" s="82" t="str">
        <f t="shared" si="6"/>
        <v/>
      </c>
      <c r="N33" s="34"/>
      <c r="O33" s="57"/>
      <c r="P33" s="82" t="str">
        <f t="shared" si="7"/>
        <v/>
      </c>
      <c r="Q33" s="34"/>
    </row>
    <row r="34" spans="1:17" ht="16.5" customHeight="1" x14ac:dyDescent="0.2">
      <c r="A34" s="68" t="str">
        <f>'4 Kriterien'!A25</f>
        <v>B07</v>
      </c>
      <c r="B34" s="69" t="str">
        <f>'4 Kriterien'!B25</f>
        <v>Kosten &amp; Vertrag</v>
      </c>
      <c r="C34" s="40" t="str">
        <f>IF('4 Kriterien'!C25="","",'4 Kriterien'!C25)</f>
        <v>Datenherausgabe bei Vertragsende</v>
      </c>
      <c r="D34" s="82">
        <f>'4 Kriterien'!K25</f>
        <v>5</v>
      </c>
      <c r="E34" s="43" t="str">
        <f>IF('4 Kriterien'!J25="X","X","")</f>
        <v/>
      </c>
      <c r="F34" s="57"/>
      <c r="G34" s="82" t="str">
        <f t="shared" si="4"/>
        <v/>
      </c>
      <c r="H34" s="34"/>
      <c r="I34" s="57"/>
      <c r="J34" s="82" t="str">
        <f t="shared" si="5"/>
        <v/>
      </c>
      <c r="K34" s="34"/>
      <c r="L34" s="57"/>
      <c r="M34" s="82" t="str">
        <f t="shared" si="6"/>
        <v/>
      </c>
      <c r="N34" s="34"/>
      <c r="O34" s="57"/>
      <c r="P34" s="82" t="str">
        <f t="shared" si="7"/>
        <v/>
      </c>
      <c r="Q34" s="34"/>
    </row>
    <row r="35" spans="1:17" ht="16.5" customHeight="1" x14ac:dyDescent="0.2">
      <c r="A35" s="68" t="str">
        <f>'4 Kriterien'!A26</f>
        <v>B08</v>
      </c>
      <c r="B35" s="69" t="str">
        <f>'4 Kriterien'!B26</f>
        <v>Kosten &amp; Vertrag</v>
      </c>
      <c r="C35" s="40" t="str">
        <f>IF('4 Kriterien'!C26="","",'4 Kriterien'!C26)</f>
        <v>Hardware: Kauf, Miete, Garantie</v>
      </c>
      <c r="D35" s="82">
        <f>'4 Kriterien'!K26</f>
        <v>3</v>
      </c>
      <c r="E35" s="43" t="str">
        <f>IF('4 Kriterien'!J26="X","X","")</f>
        <v/>
      </c>
      <c r="F35" s="57"/>
      <c r="G35" s="82" t="str">
        <f t="shared" si="4"/>
        <v/>
      </c>
      <c r="H35" s="34"/>
      <c r="I35" s="57"/>
      <c r="J35" s="82" t="str">
        <f t="shared" si="5"/>
        <v/>
      </c>
      <c r="K35" s="34"/>
      <c r="L35" s="57"/>
      <c r="M35" s="82" t="str">
        <f t="shared" si="6"/>
        <v/>
      </c>
      <c r="N35" s="34"/>
      <c r="O35" s="57"/>
      <c r="P35" s="82" t="str">
        <f t="shared" si="7"/>
        <v/>
      </c>
      <c r="Q35" s="34"/>
    </row>
    <row r="36" spans="1:17" ht="16.5" customHeight="1" x14ac:dyDescent="0.2">
      <c r="A36" s="68" t="str">
        <f>'4 Kriterien'!A27</f>
        <v>B09</v>
      </c>
      <c r="B36" s="69" t="str">
        <f>'4 Kriterien'!B27</f>
        <v>Kosten &amp; Vertrag</v>
      </c>
      <c r="C36" s="40" t="str">
        <f>IF('4 Kriterien'!C27="","",'4 Kriterien'!C27)</f>
        <v>Updates inklusive</v>
      </c>
      <c r="D36" s="82">
        <f>'4 Kriterien'!K27</f>
        <v>3</v>
      </c>
      <c r="E36" s="43" t="str">
        <f>IF('4 Kriterien'!J27="X","X","")</f>
        <v/>
      </c>
      <c r="F36" s="57"/>
      <c r="G36" s="82" t="str">
        <f t="shared" si="4"/>
        <v/>
      </c>
      <c r="H36" s="34"/>
      <c r="I36" s="57"/>
      <c r="J36" s="82" t="str">
        <f t="shared" si="5"/>
        <v/>
      </c>
      <c r="K36" s="34"/>
      <c r="L36" s="57"/>
      <c r="M36" s="82" t="str">
        <f t="shared" si="6"/>
        <v/>
      </c>
      <c r="N36" s="34"/>
      <c r="O36" s="57"/>
      <c r="P36" s="82" t="str">
        <f t="shared" si="7"/>
        <v/>
      </c>
      <c r="Q36" s="34"/>
    </row>
    <row r="37" spans="1:17" ht="19.5" customHeight="1" x14ac:dyDescent="0.2">
      <c r="A37" s="66" t="s">
        <v>367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  <row r="38" spans="1:17" ht="16.5" customHeight="1" x14ac:dyDescent="0.2">
      <c r="A38" s="68" t="str">
        <f>'4 Kriterien'!A29</f>
        <v>C01</v>
      </c>
      <c r="B38" s="69" t="str">
        <f>'4 Kriterien'!B29</f>
        <v>Schnittstellen &amp; Daten</v>
      </c>
      <c r="C38" s="40" t="str">
        <f>IF('4 Kriterien'!C29="","",'4 Kriterien'!C29)</f>
        <v>Finanzbuchhaltung &amp; Treuhand</v>
      </c>
      <c r="D38" s="82">
        <f>'4 Kriterien'!K29</f>
        <v>5</v>
      </c>
      <c r="E38" s="43" t="str">
        <f>IF('4 Kriterien'!J29="X","X","")</f>
        <v/>
      </c>
      <c r="F38" s="57"/>
      <c r="G38" s="82" t="str">
        <f t="shared" ref="G38:G49" si="8">IF(OR(NOT(ISNUMBER(F38)),$D38=0),"",$D38*F38)</f>
        <v/>
      </c>
      <c r="H38" s="34"/>
      <c r="I38" s="57"/>
      <c r="J38" s="82" t="str">
        <f t="shared" ref="J38:J49" si="9">IF(OR(NOT(ISNUMBER(I38)),$D38=0),"",$D38*I38)</f>
        <v/>
      </c>
      <c r="K38" s="34"/>
      <c r="L38" s="57"/>
      <c r="M38" s="82" t="str">
        <f t="shared" ref="M38:M49" si="10">IF(OR(NOT(ISNUMBER(L38)),$D38=0),"",$D38*L38)</f>
        <v/>
      </c>
      <c r="N38" s="34"/>
      <c r="O38" s="57"/>
      <c r="P38" s="82" t="str">
        <f t="shared" ref="P38:P49" si="11">IF(OR(NOT(ISNUMBER(O38)),$D38=0),"",$D38*O38)</f>
        <v/>
      </c>
      <c r="Q38" s="34"/>
    </row>
    <row r="39" spans="1:17" ht="16.5" customHeight="1" x14ac:dyDescent="0.2">
      <c r="A39" s="68" t="str">
        <f>'4 Kriterien'!A30</f>
        <v>C02</v>
      </c>
      <c r="B39" s="69" t="str">
        <f>'4 Kriterien'!B30</f>
        <v>Schnittstellen &amp; Daten</v>
      </c>
      <c r="C39" s="40" t="str">
        <f>IF('4 Kriterien'!C30="","",'4 Kriterien'!C30)</f>
        <v>Zahlungsterminal</v>
      </c>
      <c r="D39" s="82">
        <f>'4 Kriterien'!K30</f>
        <v>5</v>
      </c>
      <c r="E39" s="43" t="str">
        <f>IF('4 Kriterien'!J30="X","X","")</f>
        <v/>
      </c>
      <c r="F39" s="57"/>
      <c r="G39" s="82" t="str">
        <f t="shared" si="8"/>
        <v/>
      </c>
      <c r="H39" s="34"/>
      <c r="I39" s="57"/>
      <c r="J39" s="82" t="str">
        <f t="shared" si="9"/>
        <v/>
      </c>
      <c r="K39" s="34"/>
      <c r="L39" s="57"/>
      <c r="M39" s="82" t="str">
        <f t="shared" si="10"/>
        <v/>
      </c>
      <c r="N39" s="34"/>
      <c r="O39" s="57"/>
      <c r="P39" s="82" t="str">
        <f t="shared" si="11"/>
        <v/>
      </c>
      <c r="Q39" s="34"/>
    </row>
    <row r="40" spans="1:17" ht="16.5" customHeight="1" x14ac:dyDescent="0.2">
      <c r="A40" s="68" t="str">
        <f>'4 Kriterien'!A31</f>
        <v>C03</v>
      </c>
      <c r="B40" s="69" t="str">
        <f>'4 Kriterien'!B31</f>
        <v>Schnittstellen &amp; Daten</v>
      </c>
      <c r="C40" s="40" t="str">
        <f>IF('4 Kriterien'!C31="","",'4 Kriterien'!C31)</f>
        <v>Anbindung ans Kassensystem</v>
      </c>
      <c r="D40" s="82">
        <f>'4 Kriterien'!K31</f>
        <v>0</v>
      </c>
      <c r="E40" s="43" t="str">
        <f>IF('4 Kriterien'!J31="X","X","")</f>
        <v/>
      </c>
      <c r="F40" s="57"/>
      <c r="G40" s="82" t="str">
        <f t="shared" si="8"/>
        <v/>
      </c>
      <c r="H40" s="34"/>
      <c r="I40" s="57"/>
      <c r="J40" s="82" t="str">
        <f t="shared" si="9"/>
        <v/>
      </c>
      <c r="K40" s="34"/>
      <c r="L40" s="57"/>
      <c r="M40" s="82" t="str">
        <f t="shared" si="10"/>
        <v/>
      </c>
      <c r="N40" s="34"/>
      <c r="O40" s="57"/>
      <c r="P40" s="82" t="str">
        <f t="shared" si="11"/>
        <v/>
      </c>
      <c r="Q40" s="34"/>
    </row>
    <row r="41" spans="1:17" ht="16.5" customHeight="1" x14ac:dyDescent="0.2">
      <c r="A41" s="68" t="str">
        <f>'4 Kriterien'!A32</f>
        <v>C04</v>
      </c>
      <c r="B41" s="69" t="str">
        <f>'4 Kriterien'!B32</f>
        <v>Schnittstellen &amp; Daten</v>
      </c>
      <c r="C41" s="40" t="str">
        <f>IF('4 Kriterien'!C32="","",'4 Kriterien'!C32)</f>
        <v>Anbindung an Tischreservation</v>
      </c>
      <c r="D41" s="82">
        <f>'4 Kriterien'!K32</f>
        <v>0</v>
      </c>
      <c r="E41" s="43" t="str">
        <f>IF('4 Kriterien'!J32="X","X","")</f>
        <v/>
      </c>
      <c r="F41" s="57"/>
      <c r="G41" s="82" t="str">
        <f t="shared" si="8"/>
        <v/>
      </c>
      <c r="H41" s="34"/>
      <c r="I41" s="57"/>
      <c r="J41" s="82" t="str">
        <f t="shared" si="9"/>
        <v/>
      </c>
      <c r="K41" s="34"/>
      <c r="L41" s="57"/>
      <c r="M41" s="82" t="str">
        <f t="shared" si="10"/>
        <v/>
      </c>
      <c r="N41" s="34"/>
      <c r="O41" s="57"/>
      <c r="P41" s="82" t="str">
        <f t="shared" si="11"/>
        <v/>
      </c>
      <c r="Q41" s="34"/>
    </row>
    <row r="42" spans="1:17" ht="16.5" customHeight="1" x14ac:dyDescent="0.2">
      <c r="A42" s="68" t="str">
        <f>'4 Kriterien'!A33</f>
        <v>C05</v>
      </c>
      <c r="B42" s="69" t="str">
        <f>'4 Kriterien'!B33</f>
        <v>Schnittstellen &amp; Daten</v>
      </c>
      <c r="C42" s="40" t="str">
        <f>IF('4 Kriterien'!C33="","",'4 Kriterien'!C33)</f>
        <v>Anbindung an Personalplanung &amp; Lohn</v>
      </c>
      <c r="D42" s="82">
        <f>'4 Kriterien'!K33</f>
        <v>0</v>
      </c>
      <c r="E42" s="43" t="str">
        <f>IF('4 Kriterien'!J33="X","X","")</f>
        <v/>
      </c>
      <c r="F42" s="57"/>
      <c r="G42" s="82" t="str">
        <f t="shared" si="8"/>
        <v/>
      </c>
      <c r="H42" s="34"/>
      <c r="I42" s="57"/>
      <c r="J42" s="82" t="str">
        <f t="shared" si="9"/>
        <v/>
      </c>
      <c r="K42" s="34"/>
      <c r="L42" s="57"/>
      <c r="M42" s="82" t="str">
        <f t="shared" si="10"/>
        <v/>
      </c>
      <c r="N42" s="34"/>
      <c r="O42" s="57"/>
      <c r="P42" s="82" t="str">
        <f t="shared" si="11"/>
        <v/>
      </c>
      <c r="Q42" s="34"/>
    </row>
    <row r="43" spans="1:17" ht="16.5" customHeight="1" x14ac:dyDescent="0.2">
      <c r="A43" s="68" t="str">
        <f>'4 Kriterien'!A34</f>
        <v>C06</v>
      </c>
      <c r="B43" s="69" t="str">
        <f>'4 Kriterien'!B34</f>
        <v>Schnittstellen &amp; Daten</v>
      </c>
      <c r="C43" s="40" t="str">
        <f>IF('4 Kriterien'!C34="","",'4 Kriterien'!C34)</f>
        <v>Anbindung an Warenwirtschaft</v>
      </c>
      <c r="D43" s="82">
        <f>'4 Kriterien'!K34</f>
        <v>0</v>
      </c>
      <c r="E43" s="43" t="str">
        <f>IF('4 Kriterien'!J34="X","X","")</f>
        <v/>
      </c>
      <c r="F43" s="57"/>
      <c r="G43" s="82" t="str">
        <f t="shared" si="8"/>
        <v/>
      </c>
      <c r="H43" s="34"/>
      <c r="I43" s="57"/>
      <c r="J43" s="82" t="str">
        <f t="shared" si="9"/>
        <v/>
      </c>
      <c r="K43" s="34"/>
      <c r="L43" s="57"/>
      <c r="M43" s="82" t="str">
        <f t="shared" si="10"/>
        <v/>
      </c>
      <c r="N43" s="34"/>
      <c r="O43" s="57"/>
      <c r="P43" s="82" t="str">
        <f t="shared" si="11"/>
        <v/>
      </c>
      <c r="Q43" s="34"/>
    </row>
    <row r="44" spans="1:17" ht="16.5" customHeight="1" x14ac:dyDescent="0.2">
      <c r="A44" s="68" t="str">
        <f>'4 Kriterien'!A35</f>
        <v>C07</v>
      </c>
      <c r="B44" s="69" t="str">
        <f>'4 Kriterien'!B35</f>
        <v>Schnittstellen &amp; Daten</v>
      </c>
      <c r="C44" s="40" t="str">
        <f>IF('4 Kriterien'!C35="","",'4 Kriterien'!C35)</f>
        <v>Anbindung an Hotelsoftware (PMS)</v>
      </c>
      <c r="D44" s="82">
        <f>'4 Kriterien'!K35</f>
        <v>0</v>
      </c>
      <c r="E44" s="43" t="str">
        <f>IF('4 Kriterien'!J35="X","X","")</f>
        <v/>
      </c>
      <c r="F44" s="57"/>
      <c r="G44" s="82" t="str">
        <f t="shared" si="8"/>
        <v/>
      </c>
      <c r="H44" s="34"/>
      <c r="I44" s="57"/>
      <c r="J44" s="82" t="str">
        <f t="shared" si="9"/>
        <v/>
      </c>
      <c r="K44" s="34"/>
      <c r="L44" s="57"/>
      <c r="M44" s="82" t="str">
        <f t="shared" si="10"/>
        <v/>
      </c>
      <c r="N44" s="34"/>
      <c r="O44" s="57"/>
      <c r="P44" s="82" t="str">
        <f t="shared" si="11"/>
        <v/>
      </c>
      <c r="Q44" s="34"/>
    </row>
    <row r="45" spans="1:17" ht="16.5" customHeight="1" x14ac:dyDescent="0.2">
      <c r="A45" s="68" t="str">
        <f>'4 Kriterien'!A36</f>
        <v>C08</v>
      </c>
      <c r="B45" s="69" t="str">
        <f>'4 Kriterien'!B36</f>
        <v>Schnittstellen &amp; Daten</v>
      </c>
      <c r="C45" s="40" t="str">
        <f>IF('4 Kriterien'!C36="","",'4 Kriterien'!C36)</f>
        <v>Anbindung an Lieferplattformen</v>
      </c>
      <c r="D45" s="82">
        <f>'4 Kriterien'!K36</f>
        <v>3</v>
      </c>
      <c r="E45" s="43" t="str">
        <f>IF('4 Kriterien'!J36="X","X","")</f>
        <v/>
      </c>
      <c r="F45" s="57"/>
      <c r="G45" s="82" t="str">
        <f t="shared" si="8"/>
        <v/>
      </c>
      <c r="H45" s="34"/>
      <c r="I45" s="57"/>
      <c r="J45" s="82" t="str">
        <f t="shared" si="9"/>
        <v/>
      </c>
      <c r="K45" s="34"/>
      <c r="L45" s="57"/>
      <c r="M45" s="82" t="str">
        <f t="shared" si="10"/>
        <v/>
      </c>
      <c r="N45" s="34"/>
      <c r="O45" s="57"/>
      <c r="P45" s="82" t="str">
        <f t="shared" si="11"/>
        <v/>
      </c>
      <c r="Q45" s="34"/>
    </row>
    <row r="46" spans="1:17" ht="16.5" customHeight="1" x14ac:dyDescent="0.2">
      <c r="A46" s="68" t="str">
        <f>'4 Kriterien'!A37</f>
        <v>C09</v>
      </c>
      <c r="B46" s="69" t="str">
        <f>'4 Kriterien'!B37</f>
        <v>Schnittstellen &amp; Daten</v>
      </c>
      <c r="C46" s="40" t="str">
        <f>IF('4 Kriterien'!C37="","",'4 Kriterien'!C37)</f>
        <v>Anbindung an Eventsoftware</v>
      </c>
      <c r="D46" s="82">
        <f>'4 Kriterien'!K37</f>
        <v>0</v>
      </c>
      <c r="E46" s="43" t="str">
        <f>IF('4 Kriterien'!J37="X","X","")</f>
        <v/>
      </c>
      <c r="F46" s="57"/>
      <c r="G46" s="82" t="str">
        <f t="shared" si="8"/>
        <v/>
      </c>
      <c r="H46" s="34"/>
      <c r="I46" s="57"/>
      <c r="J46" s="82" t="str">
        <f t="shared" si="9"/>
        <v/>
      </c>
      <c r="K46" s="34"/>
      <c r="L46" s="57"/>
      <c r="M46" s="82" t="str">
        <f t="shared" si="10"/>
        <v/>
      </c>
      <c r="N46" s="34"/>
      <c r="O46" s="57"/>
      <c r="P46" s="82" t="str">
        <f t="shared" si="11"/>
        <v/>
      </c>
      <c r="Q46" s="34"/>
    </row>
    <row r="47" spans="1:17" ht="16.5" customHeight="1" x14ac:dyDescent="0.2">
      <c r="A47" s="68" t="str">
        <f>'4 Kriterien'!A38</f>
        <v>C10</v>
      </c>
      <c r="B47" s="69" t="str">
        <f>'4 Kriterien'!B38</f>
        <v>Schnittstellen &amp; Daten</v>
      </c>
      <c r="C47" s="40" t="str">
        <f>IF('4 Kriterien'!C38="","",'4 Kriterien'!C38)</f>
        <v>Offene Schnittstelle (API)</v>
      </c>
      <c r="D47" s="82">
        <f>'4 Kriterien'!K38</f>
        <v>3</v>
      </c>
      <c r="E47" s="43" t="str">
        <f>IF('4 Kriterien'!J38="X","X","")</f>
        <v/>
      </c>
      <c r="F47" s="57"/>
      <c r="G47" s="82" t="str">
        <f t="shared" si="8"/>
        <v/>
      </c>
      <c r="H47" s="34"/>
      <c r="I47" s="57"/>
      <c r="J47" s="82" t="str">
        <f t="shared" si="9"/>
        <v/>
      </c>
      <c r="K47" s="34"/>
      <c r="L47" s="57"/>
      <c r="M47" s="82" t="str">
        <f t="shared" si="10"/>
        <v/>
      </c>
      <c r="N47" s="34"/>
      <c r="O47" s="57"/>
      <c r="P47" s="82" t="str">
        <f t="shared" si="11"/>
        <v/>
      </c>
      <c r="Q47" s="34"/>
    </row>
    <row r="48" spans="1:17" ht="16.5" customHeight="1" x14ac:dyDescent="0.2">
      <c r="A48" s="68" t="str">
        <f>'4 Kriterien'!A39</f>
        <v>C11</v>
      </c>
      <c r="B48" s="69" t="str">
        <f>'4 Kriterien'!B39</f>
        <v>Schnittstellen &amp; Daten</v>
      </c>
      <c r="C48" s="40" t="str">
        <f>IF('4 Kriterien'!C39="","",'4 Kriterien'!C39)</f>
        <v>Datenexport jederzeit</v>
      </c>
      <c r="D48" s="82">
        <f>'4 Kriterien'!K39</f>
        <v>3</v>
      </c>
      <c r="E48" s="43" t="str">
        <f>IF('4 Kriterien'!J39="X","X","")</f>
        <v/>
      </c>
      <c r="F48" s="57"/>
      <c r="G48" s="82" t="str">
        <f t="shared" si="8"/>
        <v/>
      </c>
      <c r="H48" s="34"/>
      <c r="I48" s="57"/>
      <c r="J48" s="82" t="str">
        <f t="shared" si="9"/>
        <v/>
      </c>
      <c r="K48" s="34"/>
      <c r="L48" s="57"/>
      <c r="M48" s="82" t="str">
        <f t="shared" si="10"/>
        <v/>
      </c>
      <c r="N48" s="34"/>
      <c r="O48" s="57"/>
      <c r="P48" s="82" t="str">
        <f t="shared" si="11"/>
        <v/>
      </c>
      <c r="Q48" s="34"/>
    </row>
    <row r="49" spans="1:17" ht="30" customHeight="1" x14ac:dyDescent="0.2">
      <c r="A49" s="68" t="str">
        <f>'4 Kriterien'!A40</f>
        <v>C12</v>
      </c>
      <c r="B49" s="69" t="str">
        <f>'4 Kriterien'!B40</f>
        <v>Schnittstellen &amp; Daten</v>
      </c>
      <c r="C49" s="40" t="str">
        <f>IF('4 Kriterien'!C40="","",'4 Kriterien'!C40)</f>
        <v>Datenübernahme aus dem bisherigen System</v>
      </c>
      <c r="D49" s="82">
        <f>'4 Kriterien'!K40</f>
        <v>3</v>
      </c>
      <c r="E49" s="43" t="str">
        <f>IF('4 Kriterien'!J40="X","X","")</f>
        <v/>
      </c>
      <c r="F49" s="57"/>
      <c r="G49" s="82" t="str">
        <f t="shared" si="8"/>
        <v/>
      </c>
      <c r="H49" s="34"/>
      <c r="I49" s="57"/>
      <c r="J49" s="82" t="str">
        <f t="shared" si="9"/>
        <v/>
      </c>
      <c r="K49" s="34"/>
      <c r="L49" s="57"/>
      <c r="M49" s="82" t="str">
        <f t="shared" si="10"/>
        <v/>
      </c>
      <c r="N49" s="34"/>
      <c r="O49" s="57"/>
      <c r="P49" s="82" t="str">
        <f t="shared" si="11"/>
        <v/>
      </c>
      <c r="Q49" s="34"/>
    </row>
    <row r="50" spans="1:17" ht="19.5" customHeight="1" x14ac:dyDescent="0.2">
      <c r="A50" s="66" t="s">
        <v>130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</row>
    <row r="51" spans="1:17" ht="16.5" customHeight="1" x14ac:dyDescent="0.2">
      <c r="A51" s="68" t="str">
        <f>'4 Kriterien'!A42</f>
        <v>K01</v>
      </c>
      <c r="B51" s="69" t="str">
        <f>'4 Kriterien'!B42</f>
        <v>Kasse &amp; Service</v>
      </c>
      <c r="C51" s="40" t="str">
        <f>IF('4 Kriterien'!C42="","",'4 Kriterien'!C42)</f>
        <v>Tischplan &amp; Tischverwaltung</v>
      </c>
      <c r="D51" s="82">
        <f>'4 Kriterien'!K42</f>
        <v>3</v>
      </c>
      <c r="E51" s="43" t="str">
        <f>IF('4 Kriterien'!J42="X","X","")</f>
        <v/>
      </c>
      <c r="F51" s="57"/>
      <c r="G51" s="82" t="str">
        <f t="shared" ref="G51:G61" si="12">IF(OR(NOT(ISNUMBER(F51)),$D51=0),"",$D51*F51)</f>
        <v/>
      </c>
      <c r="H51" s="34"/>
      <c r="I51" s="57"/>
      <c r="J51" s="82" t="str">
        <f t="shared" ref="J51:J61" si="13">IF(OR(NOT(ISNUMBER(I51)),$D51=0),"",$D51*I51)</f>
        <v/>
      </c>
      <c r="K51" s="34"/>
      <c r="L51" s="57"/>
      <c r="M51" s="82" t="str">
        <f t="shared" ref="M51:M61" si="14">IF(OR(NOT(ISNUMBER(L51)),$D51=0),"",$D51*L51)</f>
        <v/>
      </c>
      <c r="N51" s="34"/>
      <c r="O51" s="57"/>
      <c r="P51" s="82" t="str">
        <f t="shared" ref="P51:P61" si="15">IF(OR(NOT(ISNUMBER(O51)),$D51=0),"",$D51*O51)</f>
        <v/>
      </c>
      <c r="Q51" s="34"/>
    </row>
    <row r="52" spans="1:17" ht="16.5" customHeight="1" x14ac:dyDescent="0.2">
      <c r="A52" s="68" t="str">
        <f>'4 Kriterien'!A43</f>
        <v>K02</v>
      </c>
      <c r="B52" s="69" t="str">
        <f>'4 Kriterien'!B43</f>
        <v>Kasse &amp; Service</v>
      </c>
      <c r="C52" s="40" t="str">
        <f>IF('4 Kriterien'!C43="","",'4 Kriterien'!C43)</f>
        <v>Mobile Bestellaufnahme</v>
      </c>
      <c r="D52" s="82">
        <f>'4 Kriterien'!K43</f>
        <v>5</v>
      </c>
      <c r="E52" s="43" t="str">
        <f>IF('4 Kriterien'!J43="X","X","")</f>
        <v/>
      </c>
      <c r="F52" s="57"/>
      <c r="G52" s="82" t="str">
        <f t="shared" si="12"/>
        <v/>
      </c>
      <c r="H52" s="34"/>
      <c r="I52" s="57"/>
      <c r="J52" s="82" t="str">
        <f t="shared" si="13"/>
        <v/>
      </c>
      <c r="K52" s="34"/>
      <c r="L52" s="57"/>
      <c r="M52" s="82" t="str">
        <f t="shared" si="14"/>
        <v/>
      </c>
      <c r="N52" s="34"/>
      <c r="O52" s="57"/>
      <c r="P52" s="82" t="str">
        <f t="shared" si="15"/>
        <v/>
      </c>
      <c r="Q52" s="34"/>
    </row>
    <row r="53" spans="1:17" ht="16.5" customHeight="1" x14ac:dyDescent="0.2">
      <c r="A53" s="68" t="str">
        <f>'4 Kriterien'!A44</f>
        <v>K03</v>
      </c>
      <c r="B53" s="69" t="str">
        <f>'4 Kriterien'!B44</f>
        <v>Kasse &amp; Service</v>
      </c>
      <c r="C53" s="40" t="str">
        <f>IF('4 Kriterien'!C44="","",'4 Kriterien'!C44)</f>
        <v>Küchenbons &amp; Küchenmonitor</v>
      </c>
      <c r="D53" s="82">
        <f>'4 Kriterien'!K44</f>
        <v>5</v>
      </c>
      <c r="E53" s="43" t="str">
        <f>IF('4 Kriterien'!J44="X","X","")</f>
        <v/>
      </c>
      <c r="F53" s="57"/>
      <c r="G53" s="82" t="str">
        <f t="shared" si="12"/>
        <v/>
      </c>
      <c r="H53" s="34"/>
      <c r="I53" s="57"/>
      <c r="J53" s="82" t="str">
        <f t="shared" si="13"/>
        <v/>
      </c>
      <c r="K53" s="34"/>
      <c r="L53" s="57"/>
      <c r="M53" s="82" t="str">
        <f t="shared" si="14"/>
        <v/>
      </c>
      <c r="N53" s="34"/>
      <c r="O53" s="57"/>
      <c r="P53" s="82" t="str">
        <f t="shared" si="15"/>
        <v/>
      </c>
      <c r="Q53" s="34"/>
    </row>
    <row r="54" spans="1:17" ht="16.5" customHeight="1" x14ac:dyDescent="0.2">
      <c r="A54" s="68" t="str">
        <f>'4 Kriterien'!A45</f>
        <v>K04</v>
      </c>
      <c r="B54" s="69" t="str">
        <f>'4 Kriterien'!B45</f>
        <v>Kasse &amp; Service</v>
      </c>
      <c r="C54" s="40" t="str">
        <f>IF('4 Kriterien'!C45="","",'4 Kriterien'!C45)</f>
        <v>Artikel, Menüs &amp; Varianten</v>
      </c>
      <c r="D54" s="82">
        <f>'4 Kriterien'!K45</f>
        <v>5</v>
      </c>
      <c r="E54" s="43" t="str">
        <f>IF('4 Kriterien'!J45="X","X","")</f>
        <v/>
      </c>
      <c r="F54" s="57"/>
      <c r="G54" s="82" t="str">
        <f t="shared" si="12"/>
        <v/>
      </c>
      <c r="H54" s="34"/>
      <c r="I54" s="57"/>
      <c r="J54" s="82" t="str">
        <f t="shared" si="13"/>
        <v/>
      </c>
      <c r="K54" s="34"/>
      <c r="L54" s="57"/>
      <c r="M54" s="82" t="str">
        <f t="shared" si="14"/>
        <v/>
      </c>
      <c r="N54" s="34"/>
      <c r="O54" s="57"/>
      <c r="P54" s="82" t="str">
        <f t="shared" si="15"/>
        <v/>
      </c>
      <c r="Q54" s="34"/>
    </row>
    <row r="55" spans="1:17" ht="16.5" customHeight="1" x14ac:dyDescent="0.2">
      <c r="A55" s="68" t="str">
        <f>'4 Kriterien'!A46</f>
        <v>K05</v>
      </c>
      <c r="B55" s="69" t="str">
        <f>'4 Kriterien'!B46</f>
        <v>Kasse &amp; Service</v>
      </c>
      <c r="C55" s="40" t="str">
        <f>IF('4 Kriterien'!C46="","",'4 Kriterien'!C46)</f>
        <v>Allergene &amp; Deklaration</v>
      </c>
      <c r="D55" s="82">
        <f>'4 Kriterien'!K46</f>
        <v>3</v>
      </c>
      <c r="E55" s="43" t="str">
        <f>IF('4 Kriterien'!J46="X","X","")</f>
        <v/>
      </c>
      <c r="F55" s="57"/>
      <c r="G55" s="82" t="str">
        <f t="shared" si="12"/>
        <v/>
      </c>
      <c r="H55" s="34"/>
      <c r="I55" s="57"/>
      <c r="J55" s="82" t="str">
        <f t="shared" si="13"/>
        <v/>
      </c>
      <c r="K55" s="34"/>
      <c r="L55" s="57"/>
      <c r="M55" s="82" t="str">
        <f t="shared" si="14"/>
        <v/>
      </c>
      <c r="N55" s="34"/>
      <c r="O55" s="57"/>
      <c r="P55" s="82" t="str">
        <f t="shared" si="15"/>
        <v/>
      </c>
      <c r="Q55" s="34"/>
    </row>
    <row r="56" spans="1:17" ht="16.5" customHeight="1" x14ac:dyDescent="0.2">
      <c r="A56" s="68" t="str">
        <f>'4 Kriterien'!A47</f>
        <v>K06</v>
      </c>
      <c r="B56" s="69" t="str">
        <f>'4 Kriterien'!B47</f>
        <v>Kasse &amp; Service</v>
      </c>
      <c r="C56" s="40" t="str">
        <f>IF('4 Kriterien'!C47="","",'4 Kriterien'!C47)</f>
        <v>Rechnungen teilen &amp; zusammenführen</v>
      </c>
      <c r="D56" s="82">
        <f>'4 Kriterien'!K47</f>
        <v>5</v>
      </c>
      <c r="E56" s="43" t="str">
        <f>IF('4 Kriterien'!J47="X","X","")</f>
        <v/>
      </c>
      <c r="F56" s="57"/>
      <c r="G56" s="82" t="str">
        <f t="shared" si="12"/>
        <v/>
      </c>
      <c r="H56" s="34"/>
      <c r="I56" s="57"/>
      <c r="J56" s="82" t="str">
        <f t="shared" si="13"/>
        <v/>
      </c>
      <c r="K56" s="34"/>
      <c r="L56" s="57"/>
      <c r="M56" s="82" t="str">
        <f t="shared" si="14"/>
        <v/>
      </c>
      <c r="N56" s="34"/>
      <c r="O56" s="57"/>
      <c r="P56" s="82" t="str">
        <f t="shared" si="15"/>
        <v/>
      </c>
      <c r="Q56" s="34"/>
    </row>
    <row r="57" spans="1:17" ht="16.5" customHeight="1" x14ac:dyDescent="0.2">
      <c r="A57" s="68" t="str">
        <f>'4 Kriterien'!A48</f>
        <v>K07</v>
      </c>
      <c r="B57" s="69" t="str">
        <f>'4 Kriterien'!B48</f>
        <v>Kasse &amp; Service</v>
      </c>
      <c r="C57" s="40" t="str">
        <f>IF('4 Kriterien'!C48="","",'4 Kriterien'!C48)</f>
        <v>Trinkgeld</v>
      </c>
      <c r="D57" s="82">
        <f>'4 Kriterien'!K48</f>
        <v>3</v>
      </c>
      <c r="E57" s="43" t="str">
        <f>IF('4 Kriterien'!J48="X","X","")</f>
        <v/>
      </c>
      <c r="F57" s="57"/>
      <c r="G57" s="82" t="str">
        <f t="shared" si="12"/>
        <v/>
      </c>
      <c r="H57" s="34"/>
      <c r="I57" s="57"/>
      <c r="J57" s="82" t="str">
        <f t="shared" si="13"/>
        <v/>
      </c>
      <c r="K57" s="34"/>
      <c r="L57" s="57"/>
      <c r="M57" s="82" t="str">
        <f t="shared" si="14"/>
        <v/>
      </c>
      <c r="N57" s="34"/>
      <c r="O57" s="57"/>
      <c r="P57" s="82" t="str">
        <f t="shared" si="15"/>
        <v/>
      </c>
      <c r="Q57" s="34"/>
    </row>
    <row r="58" spans="1:17" ht="16.5" customHeight="1" x14ac:dyDescent="0.2">
      <c r="A58" s="68" t="str">
        <f>'4 Kriterien'!A49</f>
        <v>K08</v>
      </c>
      <c r="B58" s="69" t="str">
        <f>'4 Kriterien'!B49</f>
        <v>Kasse &amp; Service</v>
      </c>
      <c r="C58" s="40" t="str">
        <f>IF('4 Kriterien'!C49="","",'4 Kriterien'!C49)</f>
        <v>MWST Schweiz</v>
      </c>
      <c r="D58" s="82">
        <f>'4 Kriterien'!K49</f>
        <v>5</v>
      </c>
      <c r="E58" s="43" t="str">
        <f>IF('4 Kriterien'!J49="X","X","")</f>
        <v/>
      </c>
      <c r="F58" s="57"/>
      <c r="G58" s="82" t="str">
        <f t="shared" si="12"/>
        <v/>
      </c>
      <c r="H58" s="34"/>
      <c r="I58" s="57"/>
      <c r="J58" s="82" t="str">
        <f t="shared" si="13"/>
        <v/>
      </c>
      <c r="K58" s="34"/>
      <c r="L58" s="57"/>
      <c r="M58" s="82" t="str">
        <f t="shared" si="14"/>
        <v/>
      </c>
      <c r="N58" s="34"/>
      <c r="O58" s="57"/>
      <c r="P58" s="82" t="str">
        <f t="shared" si="15"/>
        <v/>
      </c>
      <c r="Q58" s="34"/>
    </row>
    <row r="59" spans="1:17" ht="16.5" customHeight="1" x14ac:dyDescent="0.2">
      <c r="A59" s="68" t="str">
        <f>'4 Kriterien'!A50</f>
        <v>K09</v>
      </c>
      <c r="B59" s="69" t="str">
        <f>'4 Kriterien'!B50</f>
        <v>Kasse &amp; Service</v>
      </c>
      <c r="C59" s="40" t="str">
        <f>IF('4 Kriterien'!C50="","",'4 Kriterien'!C50)</f>
        <v>Tagesabschluss &amp; Kassenbuch</v>
      </c>
      <c r="D59" s="82">
        <f>'4 Kriterien'!K50</f>
        <v>5</v>
      </c>
      <c r="E59" s="43" t="str">
        <f>IF('4 Kriterien'!J50="X","X","")</f>
        <v/>
      </c>
      <c r="F59" s="57"/>
      <c r="G59" s="82" t="str">
        <f t="shared" si="12"/>
        <v/>
      </c>
      <c r="H59" s="34"/>
      <c r="I59" s="57"/>
      <c r="J59" s="82" t="str">
        <f t="shared" si="13"/>
        <v/>
      </c>
      <c r="K59" s="34"/>
      <c r="L59" s="57"/>
      <c r="M59" s="82" t="str">
        <f t="shared" si="14"/>
        <v/>
      </c>
      <c r="N59" s="34"/>
      <c r="O59" s="57"/>
      <c r="P59" s="82" t="str">
        <f t="shared" si="15"/>
        <v/>
      </c>
      <c r="Q59" s="34"/>
    </row>
    <row r="60" spans="1:17" ht="16.5" customHeight="1" x14ac:dyDescent="0.2">
      <c r="A60" s="68" t="str">
        <f>'4 Kriterien'!A51</f>
        <v>K10</v>
      </c>
      <c r="B60" s="69" t="str">
        <f>'4 Kriterien'!B51</f>
        <v>Kasse &amp; Service</v>
      </c>
      <c r="C60" s="40" t="str">
        <f>IF('4 Kriterien'!C51="","",'4 Kriterien'!C51)</f>
        <v>Gutscheine an der Kasse</v>
      </c>
      <c r="D60" s="82">
        <f>'4 Kriterien'!K51</f>
        <v>3</v>
      </c>
      <c r="E60" s="43" t="str">
        <f>IF('4 Kriterien'!J51="X","X","")</f>
        <v/>
      </c>
      <c r="F60" s="57"/>
      <c r="G60" s="82" t="str">
        <f t="shared" si="12"/>
        <v/>
      </c>
      <c r="H60" s="34"/>
      <c r="I60" s="57"/>
      <c r="J60" s="82" t="str">
        <f t="shared" si="13"/>
        <v/>
      </c>
      <c r="K60" s="34"/>
      <c r="L60" s="57"/>
      <c r="M60" s="82" t="str">
        <f t="shared" si="14"/>
        <v/>
      </c>
      <c r="N60" s="34"/>
      <c r="O60" s="57"/>
      <c r="P60" s="82" t="str">
        <f t="shared" si="15"/>
        <v/>
      </c>
      <c r="Q60" s="34"/>
    </row>
    <row r="61" spans="1:17" ht="16.5" customHeight="1" x14ac:dyDescent="0.2">
      <c r="A61" s="68" t="str">
        <f>'4 Kriterien'!A52</f>
        <v>K11</v>
      </c>
      <c r="B61" s="69" t="str">
        <f>'4 Kriterien'!B52</f>
        <v>Kasse &amp; Service</v>
      </c>
      <c r="C61" s="40" t="str">
        <f>IF('4 Kriterien'!C52="","",'4 Kriterien'!C52)</f>
        <v>Bestellen &amp; Bezahlen per QR-Code</v>
      </c>
      <c r="D61" s="82">
        <f>'4 Kriterien'!K52</f>
        <v>1</v>
      </c>
      <c r="E61" s="43" t="str">
        <f>IF('4 Kriterien'!J52="X","X","")</f>
        <v/>
      </c>
      <c r="F61" s="57"/>
      <c r="G61" s="82" t="str">
        <f t="shared" si="12"/>
        <v/>
      </c>
      <c r="H61" s="34"/>
      <c r="I61" s="57"/>
      <c r="J61" s="82" t="str">
        <f t="shared" si="13"/>
        <v/>
      </c>
      <c r="K61" s="34"/>
      <c r="L61" s="57"/>
      <c r="M61" s="82" t="str">
        <f t="shared" si="14"/>
        <v/>
      </c>
      <c r="N61" s="34"/>
      <c r="O61" s="57"/>
      <c r="P61" s="82" t="str">
        <f t="shared" si="15"/>
        <v/>
      </c>
      <c r="Q61" s="34"/>
    </row>
    <row r="62" spans="1:17" ht="19.5" customHeight="1" x14ac:dyDescent="0.2">
      <c r="A62" s="66" t="s">
        <v>133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</row>
    <row r="63" spans="1:17" ht="16.5" customHeight="1" x14ac:dyDescent="0.2">
      <c r="A63" s="68" t="str">
        <f>'4 Kriterien'!A54</f>
        <v>R01</v>
      </c>
      <c r="B63" s="69" t="str">
        <f>'4 Kriterien'!B54</f>
        <v>Tischreservation</v>
      </c>
      <c r="C63" s="40" t="str">
        <f>IF('4 Kriterien'!C54="","",'4 Kriterien'!C54)</f>
        <v>Online-Reservation</v>
      </c>
      <c r="D63" s="82">
        <f>'4 Kriterien'!K54</f>
        <v>5</v>
      </c>
      <c r="E63" s="43" t="str">
        <f>IF('4 Kriterien'!J54="X","X","")</f>
        <v/>
      </c>
      <c r="F63" s="57"/>
      <c r="G63" s="82" t="str">
        <f t="shared" ref="G63:G70" si="16">IF(OR(NOT(ISNUMBER(F63)),$D63=0),"",$D63*F63)</f>
        <v/>
      </c>
      <c r="H63" s="34"/>
      <c r="I63" s="57"/>
      <c r="J63" s="82" t="str">
        <f t="shared" ref="J63:J70" si="17">IF(OR(NOT(ISNUMBER(I63)),$D63=0),"",$D63*I63)</f>
        <v/>
      </c>
      <c r="K63" s="34"/>
      <c r="L63" s="57"/>
      <c r="M63" s="82" t="str">
        <f t="shared" ref="M63:M70" si="18">IF(OR(NOT(ISNUMBER(L63)),$D63=0),"",$D63*L63)</f>
        <v/>
      </c>
      <c r="N63" s="34"/>
      <c r="O63" s="57"/>
      <c r="P63" s="82" t="str">
        <f t="shared" ref="P63:P70" si="19">IF(OR(NOT(ISNUMBER(O63)),$D63=0),"",$D63*O63)</f>
        <v/>
      </c>
      <c r="Q63" s="34"/>
    </row>
    <row r="64" spans="1:17" ht="16.5" customHeight="1" x14ac:dyDescent="0.2">
      <c r="A64" s="68" t="str">
        <f>'4 Kriterien'!A55</f>
        <v>R02</v>
      </c>
      <c r="B64" s="69" t="str">
        <f>'4 Kriterien'!B55</f>
        <v>Tischreservation</v>
      </c>
      <c r="C64" s="40" t="str">
        <f>IF('4 Kriterien'!C55="","",'4 Kriterien'!C55)</f>
        <v>Kapazitäts- &amp; Schichtsteuerung</v>
      </c>
      <c r="D64" s="82">
        <f>'4 Kriterien'!K55</f>
        <v>5</v>
      </c>
      <c r="E64" s="43" t="str">
        <f>IF('4 Kriterien'!J55="X","X","")</f>
        <v/>
      </c>
      <c r="F64" s="57"/>
      <c r="G64" s="82" t="str">
        <f t="shared" si="16"/>
        <v/>
      </c>
      <c r="H64" s="34"/>
      <c r="I64" s="57"/>
      <c r="J64" s="82" t="str">
        <f t="shared" si="17"/>
        <v/>
      </c>
      <c r="K64" s="34"/>
      <c r="L64" s="57"/>
      <c r="M64" s="82" t="str">
        <f t="shared" si="18"/>
        <v/>
      </c>
      <c r="N64" s="34"/>
      <c r="O64" s="57"/>
      <c r="P64" s="82" t="str">
        <f t="shared" si="19"/>
        <v/>
      </c>
      <c r="Q64" s="34"/>
    </row>
    <row r="65" spans="1:17" ht="16.5" customHeight="1" x14ac:dyDescent="0.2">
      <c r="A65" s="68" t="str">
        <f>'4 Kriterien'!A56</f>
        <v>R03</v>
      </c>
      <c r="B65" s="69" t="str">
        <f>'4 Kriterien'!B56</f>
        <v>Tischreservation</v>
      </c>
      <c r="C65" s="40" t="str">
        <f>IF('4 Kriterien'!C56="","",'4 Kriterien'!C56)</f>
        <v>Schutz vor No-Shows</v>
      </c>
      <c r="D65" s="82">
        <f>'4 Kriterien'!K56</f>
        <v>3</v>
      </c>
      <c r="E65" s="43" t="str">
        <f>IF('4 Kriterien'!J56="X","X","")</f>
        <v/>
      </c>
      <c r="F65" s="57"/>
      <c r="G65" s="82" t="str">
        <f t="shared" si="16"/>
        <v/>
      </c>
      <c r="H65" s="34"/>
      <c r="I65" s="57"/>
      <c r="J65" s="82" t="str">
        <f t="shared" si="17"/>
        <v/>
      </c>
      <c r="K65" s="34"/>
      <c r="L65" s="57"/>
      <c r="M65" s="82" t="str">
        <f t="shared" si="18"/>
        <v/>
      </c>
      <c r="N65" s="34"/>
      <c r="O65" s="57"/>
      <c r="P65" s="82" t="str">
        <f t="shared" si="19"/>
        <v/>
      </c>
      <c r="Q65" s="34"/>
    </row>
    <row r="66" spans="1:17" ht="16.5" customHeight="1" x14ac:dyDescent="0.2">
      <c r="A66" s="68" t="str">
        <f>'4 Kriterien'!A57</f>
        <v>R04</v>
      </c>
      <c r="B66" s="69" t="str">
        <f>'4 Kriterien'!B57</f>
        <v>Tischreservation</v>
      </c>
      <c r="C66" s="40" t="str">
        <f>IF('4 Kriterien'!C57="","",'4 Kriterien'!C57)</f>
        <v>Bestätigung &amp; Erinnerung</v>
      </c>
      <c r="D66" s="82">
        <f>'4 Kriterien'!K57</f>
        <v>3</v>
      </c>
      <c r="E66" s="43" t="str">
        <f>IF('4 Kriterien'!J57="X","X","")</f>
        <v/>
      </c>
      <c r="F66" s="57"/>
      <c r="G66" s="82" t="str">
        <f t="shared" si="16"/>
        <v/>
      </c>
      <c r="H66" s="34"/>
      <c r="I66" s="57"/>
      <c r="J66" s="82" t="str">
        <f t="shared" si="17"/>
        <v/>
      </c>
      <c r="K66" s="34"/>
      <c r="L66" s="57"/>
      <c r="M66" s="82" t="str">
        <f t="shared" si="18"/>
        <v/>
      </c>
      <c r="N66" s="34"/>
      <c r="O66" s="57"/>
      <c r="P66" s="82" t="str">
        <f t="shared" si="19"/>
        <v/>
      </c>
      <c r="Q66" s="34"/>
    </row>
    <row r="67" spans="1:17" ht="16.5" customHeight="1" x14ac:dyDescent="0.2">
      <c r="A67" s="68" t="str">
        <f>'4 Kriterien'!A58</f>
        <v>R05</v>
      </c>
      <c r="B67" s="69" t="str">
        <f>'4 Kriterien'!B58</f>
        <v>Tischreservation</v>
      </c>
      <c r="C67" s="40" t="str">
        <f>IF('4 Kriterien'!C58="","",'4 Kriterien'!C58)</f>
        <v>Gästeprofil &amp; Notizen</v>
      </c>
      <c r="D67" s="82">
        <f>'4 Kriterien'!K58</f>
        <v>3</v>
      </c>
      <c r="E67" s="43" t="str">
        <f>IF('4 Kriterien'!J58="X","X","")</f>
        <v/>
      </c>
      <c r="F67" s="57"/>
      <c r="G67" s="82" t="str">
        <f t="shared" si="16"/>
        <v/>
      </c>
      <c r="H67" s="34"/>
      <c r="I67" s="57"/>
      <c r="J67" s="82" t="str">
        <f t="shared" si="17"/>
        <v/>
      </c>
      <c r="K67" s="34"/>
      <c r="L67" s="57"/>
      <c r="M67" s="82" t="str">
        <f t="shared" si="18"/>
        <v/>
      </c>
      <c r="N67" s="34"/>
      <c r="O67" s="57"/>
      <c r="P67" s="82" t="str">
        <f t="shared" si="19"/>
        <v/>
      </c>
      <c r="Q67" s="34"/>
    </row>
    <row r="68" spans="1:17" ht="16.5" customHeight="1" x14ac:dyDescent="0.2">
      <c r="A68" s="68" t="str">
        <f>'4 Kriterien'!A59</f>
        <v>R06</v>
      </c>
      <c r="B68" s="69" t="str">
        <f>'4 Kriterien'!B59</f>
        <v>Tischreservation</v>
      </c>
      <c r="C68" s="40" t="str">
        <f>IF('4 Kriterien'!C59="","",'4 Kriterien'!C59)</f>
        <v>Warteliste &amp; Walk-ins</v>
      </c>
      <c r="D68" s="82">
        <f>'4 Kriterien'!K59</f>
        <v>1</v>
      </c>
      <c r="E68" s="43" t="str">
        <f>IF('4 Kriterien'!J59="X","X","")</f>
        <v/>
      </c>
      <c r="F68" s="57"/>
      <c r="G68" s="82" t="str">
        <f t="shared" si="16"/>
        <v/>
      </c>
      <c r="H68" s="34"/>
      <c r="I68" s="57"/>
      <c r="J68" s="82" t="str">
        <f t="shared" si="17"/>
        <v/>
      </c>
      <c r="K68" s="34"/>
      <c r="L68" s="57"/>
      <c r="M68" s="82" t="str">
        <f t="shared" si="18"/>
        <v/>
      </c>
      <c r="N68" s="34"/>
      <c r="O68" s="57"/>
      <c r="P68" s="82" t="str">
        <f t="shared" si="19"/>
        <v/>
      </c>
      <c r="Q68" s="34"/>
    </row>
    <row r="69" spans="1:17" ht="16.5" customHeight="1" x14ac:dyDescent="0.2">
      <c r="A69" s="68" t="str">
        <f>'4 Kriterien'!A60</f>
        <v>R07</v>
      </c>
      <c r="B69" s="69" t="str">
        <f>'4 Kriterien'!B60</f>
        <v>Tischreservation</v>
      </c>
      <c r="C69" s="40" t="str">
        <f>IF('4 Kriterien'!C60="","",'4 Kriterien'!C60)</f>
        <v>Telefon- &amp; E-Mail-Reservationen</v>
      </c>
      <c r="D69" s="82">
        <f>'4 Kriterien'!K60</f>
        <v>3</v>
      </c>
      <c r="E69" s="43" t="str">
        <f>IF('4 Kriterien'!J60="X","X","")</f>
        <v/>
      </c>
      <c r="F69" s="57"/>
      <c r="G69" s="82" t="str">
        <f t="shared" si="16"/>
        <v/>
      </c>
      <c r="H69" s="34"/>
      <c r="I69" s="57"/>
      <c r="J69" s="82" t="str">
        <f t="shared" si="17"/>
        <v/>
      </c>
      <c r="K69" s="34"/>
      <c r="L69" s="57"/>
      <c r="M69" s="82" t="str">
        <f t="shared" si="18"/>
        <v/>
      </c>
      <c r="N69" s="34"/>
      <c r="O69" s="57"/>
      <c r="P69" s="82" t="str">
        <f t="shared" si="19"/>
        <v/>
      </c>
      <c r="Q69" s="34"/>
    </row>
    <row r="70" spans="1:17" ht="16.5" customHeight="1" x14ac:dyDescent="0.2">
      <c r="A70" s="68" t="str">
        <f>'4 Kriterien'!A61</f>
        <v>R08</v>
      </c>
      <c r="B70" s="69" t="str">
        <f>'4 Kriterien'!B61</f>
        <v>Tischreservation</v>
      </c>
      <c r="C70" s="40" t="str">
        <f>IF('4 Kriterien'!C61="","",'4 Kriterien'!C61)</f>
        <v>Provisionsmodell</v>
      </c>
      <c r="D70" s="82">
        <f>'4 Kriterien'!K61</f>
        <v>5</v>
      </c>
      <c r="E70" s="43" t="str">
        <f>IF('4 Kriterien'!J61="X","X","")</f>
        <v/>
      </c>
      <c r="F70" s="57"/>
      <c r="G70" s="82" t="str">
        <f t="shared" si="16"/>
        <v/>
      </c>
      <c r="H70" s="34"/>
      <c r="I70" s="57"/>
      <c r="J70" s="82" t="str">
        <f t="shared" si="17"/>
        <v/>
      </c>
      <c r="K70" s="34"/>
      <c r="L70" s="57"/>
      <c r="M70" s="82" t="str">
        <f t="shared" si="18"/>
        <v/>
      </c>
      <c r="N70" s="34"/>
      <c r="O70" s="57"/>
      <c r="P70" s="82" t="str">
        <f t="shared" si="19"/>
        <v/>
      </c>
      <c r="Q70" s="34"/>
    </row>
    <row r="71" spans="1:17" ht="19.5" customHeight="1" x14ac:dyDescent="0.2">
      <c r="A71" s="66" t="s">
        <v>136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</row>
    <row r="72" spans="1:17" ht="16.5" customHeight="1" x14ac:dyDescent="0.2">
      <c r="A72" s="68" t="str">
        <f>'4 Kriterien'!A63</f>
        <v>P01</v>
      </c>
      <c r="B72" s="69" t="str">
        <f>'4 Kriterien'!B63</f>
        <v>Personalplanung &amp; Zeiterfassung</v>
      </c>
      <c r="C72" s="40" t="str">
        <f>IF('4 Kriterien'!C63="","",'4 Kriterien'!C63)</f>
        <v>Dienstplan erstellen</v>
      </c>
      <c r="D72" s="82">
        <f>'4 Kriterien'!K63</f>
        <v>5</v>
      </c>
      <c r="E72" s="43" t="str">
        <f>IF('4 Kriterien'!J63="X","X","")</f>
        <v/>
      </c>
      <c r="F72" s="57"/>
      <c r="G72" s="82" t="str">
        <f t="shared" ref="G72:G78" si="20">IF(OR(NOT(ISNUMBER(F72)),$D72=0),"",$D72*F72)</f>
        <v/>
      </c>
      <c r="H72" s="34"/>
      <c r="I72" s="57"/>
      <c r="J72" s="82" t="str">
        <f t="shared" ref="J72:J78" si="21">IF(OR(NOT(ISNUMBER(I72)),$D72=0),"",$D72*I72)</f>
        <v/>
      </c>
      <c r="K72" s="34"/>
      <c r="L72" s="57"/>
      <c r="M72" s="82" t="str">
        <f t="shared" ref="M72:M78" si="22">IF(OR(NOT(ISNUMBER(L72)),$D72=0),"",$D72*L72)</f>
        <v/>
      </c>
      <c r="N72" s="34"/>
      <c r="O72" s="57"/>
      <c r="P72" s="82" t="str">
        <f t="shared" ref="P72:P78" si="23">IF(OR(NOT(ISNUMBER(O72)),$D72=0),"",$D72*O72)</f>
        <v/>
      </c>
      <c r="Q72" s="34"/>
    </row>
    <row r="73" spans="1:17" ht="16.5" customHeight="1" x14ac:dyDescent="0.2">
      <c r="A73" s="68" t="str">
        <f>'4 Kriterien'!A64</f>
        <v>P02</v>
      </c>
      <c r="B73" s="69" t="str">
        <f>'4 Kriterien'!B64</f>
        <v>Personalplanung &amp; Zeiterfassung</v>
      </c>
      <c r="C73" s="40" t="str">
        <f>IF('4 Kriterien'!C64="","",'4 Kriterien'!C64)</f>
        <v>L-GAV-Konformität</v>
      </c>
      <c r="D73" s="82">
        <f>'4 Kriterien'!K64</f>
        <v>5</v>
      </c>
      <c r="E73" s="43" t="str">
        <f>IF('4 Kriterien'!J64="X","X","")</f>
        <v/>
      </c>
      <c r="F73" s="57"/>
      <c r="G73" s="82" t="str">
        <f t="shared" si="20"/>
        <v/>
      </c>
      <c r="H73" s="34"/>
      <c r="I73" s="57"/>
      <c r="J73" s="82" t="str">
        <f t="shared" si="21"/>
        <v/>
      </c>
      <c r="K73" s="34"/>
      <c r="L73" s="57"/>
      <c r="M73" s="82" t="str">
        <f t="shared" si="22"/>
        <v/>
      </c>
      <c r="N73" s="34"/>
      <c r="O73" s="57"/>
      <c r="P73" s="82" t="str">
        <f t="shared" si="23"/>
        <v/>
      </c>
      <c r="Q73" s="34"/>
    </row>
    <row r="74" spans="1:17" ht="16.5" customHeight="1" x14ac:dyDescent="0.2">
      <c r="A74" s="68" t="str">
        <f>'4 Kriterien'!A65</f>
        <v>P03</v>
      </c>
      <c r="B74" s="69" t="str">
        <f>'4 Kriterien'!B65</f>
        <v>Personalplanung &amp; Zeiterfassung</v>
      </c>
      <c r="C74" s="40" t="str">
        <f>IF('4 Kriterien'!C65="","",'4 Kriterien'!C65)</f>
        <v>Zeiterfassung</v>
      </c>
      <c r="D74" s="82">
        <f>'4 Kriterien'!K65</f>
        <v>5</v>
      </c>
      <c r="E74" s="43" t="str">
        <f>IF('4 Kriterien'!J65="X","X","")</f>
        <v/>
      </c>
      <c r="F74" s="57"/>
      <c r="G74" s="82" t="str">
        <f t="shared" si="20"/>
        <v/>
      </c>
      <c r="H74" s="34"/>
      <c r="I74" s="57"/>
      <c r="J74" s="82" t="str">
        <f t="shared" si="21"/>
        <v/>
      </c>
      <c r="K74" s="34"/>
      <c r="L74" s="57"/>
      <c r="M74" s="82" t="str">
        <f t="shared" si="22"/>
        <v/>
      </c>
      <c r="N74" s="34"/>
      <c r="O74" s="57"/>
      <c r="P74" s="82" t="str">
        <f t="shared" si="23"/>
        <v/>
      </c>
      <c r="Q74" s="34"/>
    </row>
    <row r="75" spans="1:17" ht="16.5" customHeight="1" x14ac:dyDescent="0.2">
      <c r="A75" s="68" t="str">
        <f>'4 Kriterien'!A66</f>
        <v>P04</v>
      </c>
      <c r="B75" s="69" t="str">
        <f>'4 Kriterien'!B66</f>
        <v>Personalplanung &amp; Zeiterfassung</v>
      </c>
      <c r="C75" s="40" t="str">
        <f>IF('4 Kriterien'!C66="","",'4 Kriterien'!C66)</f>
        <v>Absenzen &amp; Ferien</v>
      </c>
      <c r="D75" s="82">
        <f>'4 Kriterien'!K66</f>
        <v>3</v>
      </c>
      <c r="E75" s="43" t="str">
        <f>IF('4 Kriterien'!J66="X","X","")</f>
        <v/>
      </c>
      <c r="F75" s="57"/>
      <c r="G75" s="82" t="str">
        <f t="shared" si="20"/>
        <v/>
      </c>
      <c r="H75" s="34"/>
      <c r="I75" s="57"/>
      <c r="J75" s="82" t="str">
        <f t="shared" si="21"/>
        <v/>
      </c>
      <c r="K75" s="34"/>
      <c r="L75" s="57"/>
      <c r="M75" s="82" t="str">
        <f t="shared" si="22"/>
        <v/>
      </c>
      <c r="N75" s="34"/>
      <c r="O75" s="57"/>
      <c r="P75" s="82" t="str">
        <f t="shared" si="23"/>
        <v/>
      </c>
      <c r="Q75" s="34"/>
    </row>
    <row r="76" spans="1:17" ht="16.5" customHeight="1" x14ac:dyDescent="0.2">
      <c r="A76" s="68" t="str">
        <f>'4 Kriterien'!A67</f>
        <v>P05</v>
      </c>
      <c r="B76" s="69" t="str">
        <f>'4 Kriterien'!B67</f>
        <v>Personalplanung &amp; Zeiterfassung</v>
      </c>
      <c r="C76" s="40" t="str">
        <f>IF('4 Kriterien'!C67="","",'4 Kriterien'!C67)</f>
        <v>App für Mitarbeitende</v>
      </c>
      <c r="D76" s="82">
        <f>'4 Kriterien'!K67</f>
        <v>3</v>
      </c>
      <c r="E76" s="43" t="str">
        <f>IF('4 Kriterien'!J67="X","X","")</f>
        <v/>
      </c>
      <c r="F76" s="57"/>
      <c r="G76" s="82" t="str">
        <f t="shared" si="20"/>
        <v/>
      </c>
      <c r="H76" s="34"/>
      <c r="I76" s="57"/>
      <c r="J76" s="82" t="str">
        <f t="shared" si="21"/>
        <v/>
      </c>
      <c r="K76" s="34"/>
      <c r="L76" s="57"/>
      <c r="M76" s="82" t="str">
        <f t="shared" si="22"/>
        <v/>
      </c>
      <c r="N76" s="34"/>
      <c r="O76" s="57"/>
      <c r="P76" s="82" t="str">
        <f t="shared" si="23"/>
        <v/>
      </c>
      <c r="Q76" s="34"/>
    </row>
    <row r="77" spans="1:17" ht="16.5" customHeight="1" x14ac:dyDescent="0.2">
      <c r="A77" s="68" t="str">
        <f>'4 Kriterien'!A68</f>
        <v>P06</v>
      </c>
      <c r="B77" s="69" t="str">
        <f>'4 Kriterien'!B68</f>
        <v>Personalplanung &amp; Zeiterfassung</v>
      </c>
      <c r="C77" s="40" t="str">
        <f>IF('4 Kriterien'!C68="","",'4 Kriterien'!C68)</f>
        <v>Planung nach Umsatz</v>
      </c>
      <c r="D77" s="82">
        <f>'4 Kriterien'!K68</f>
        <v>3</v>
      </c>
      <c r="E77" s="43" t="str">
        <f>IF('4 Kriterien'!J68="X","X","")</f>
        <v/>
      </c>
      <c r="F77" s="57"/>
      <c r="G77" s="82" t="str">
        <f t="shared" si="20"/>
        <v/>
      </c>
      <c r="H77" s="34"/>
      <c r="I77" s="57"/>
      <c r="J77" s="82" t="str">
        <f t="shared" si="21"/>
        <v/>
      </c>
      <c r="K77" s="34"/>
      <c r="L77" s="57"/>
      <c r="M77" s="82" t="str">
        <f t="shared" si="22"/>
        <v/>
      </c>
      <c r="N77" s="34"/>
      <c r="O77" s="57"/>
      <c r="P77" s="82" t="str">
        <f t="shared" si="23"/>
        <v/>
      </c>
      <c r="Q77" s="34"/>
    </row>
    <row r="78" spans="1:17" ht="16.5" customHeight="1" x14ac:dyDescent="0.2">
      <c r="A78" s="68" t="str">
        <f>'4 Kriterien'!A69</f>
        <v>P07</v>
      </c>
      <c r="B78" s="69" t="str">
        <f>'4 Kriterien'!B69</f>
        <v>Personalplanung &amp; Zeiterfassung</v>
      </c>
      <c r="C78" s="40" t="str">
        <f>IF('4 Kriterien'!C69="","",'4 Kriterien'!C69)</f>
        <v>Lohnvorbereitung</v>
      </c>
      <c r="D78" s="82">
        <f>'4 Kriterien'!K69</f>
        <v>5</v>
      </c>
      <c r="E78" s="43" t="str">
        <f>IF('4 Kriterien'!J69="X","X","")</f>
        <v/>
      </c>
      <c r="F78" s="57"/>
      <c r="G78" s="82" t="str">
        <f t="shared" si="20"/>
        <v/>
      </c>
      <c r="H78" s="34"/>
      <c r="I78" s="57"/>
      <c r="J78" s="82" t="str">
        <f t="shared" si="21"/>
        <v/>
      </c>
      <c r="K78" s="34"/>
      <c r="L78" s="57"/>
      <c r="M78" s="82" t="str">
        <f t="shared" si="22"/>
        <v/>
      </c>
      <c r="N78" s="34"/>
      <c r="O78" s="57"/>
      <c r="P78" s="82" t="str">
        <f t="shared" si="23"/>
        <v/>
      </c>
      <c r="Q78" s="34"/>
    </row>
    <row r="79" spans="1:17" ht="19.5" customHeight="1" x14ac:dyDescent="0.2">
      <c r="A79" s="66" t="s">
        <v>139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</row>
    <row r="80" spans="1:17" ht="16.5" customHeight="1" x14ac:dyDescent="0.2">
      <c r="A80" s="68" t="str">
        <f>'4 Kriterien'!A71</f>
        <v>W01</v>
      </c>
      <c r="B80" s="69" t="str">
        <f>'4 Kriterien'!B71</f>
        <v>Warenwirtschaft &amp; Kalkulation</v>
      </c>
      <c r="C80" s="40" t="str">
        <f>IF('4 Kriterien'!C71="","",'4 Kriterien'!C71)</f>
        <v>Rezepturen &amp; Kalkulation</v>
      </c>
      <c r="D80" s="82">
        <f>'4 Kriterien'!K71</f>
        <v>5</v>
      </c>
      <c r="E80" s="43" t="str">
        <f>IF('4 Kriterien'!J71="X","X","")</f>
        <v/>
      </c>
      <c r="F80" s="57"/>
      <c r="G80" s="82" t="str">
        <f t="shared" ref="G80:G86" si="24">IF(OR(NOT(ISNUMBER(F80)),$D80=0),"",$D80*F80)</f>
        <v/>
      </c>
      <c r="H80" s="34"/>
      <c r="I80" s="57"/>
      <c r="J80" s="82" t="str">
        <f t="shared" ref="J80:J86" si="25">IF(OR(NOT(ISNUMBER(I80)),$D80=0),"",$D80*I80)</f>
        <v/>
      </c>
      <c r="K80" s="34"/>
      <c r="L80" s="57"/>
      <c r="M80" s="82" t="str">
        <f t="shared" ref="M80:M86" si="26">IF(OR(NOT(ISNUMBER(L80)),$D80=0),"",$D80*L80)</f>
        <v/>
      </c>
      <c r="N80" s="34"/>
      <c r="O80" s="57"/>
      <c r="P80" s="82" t="str">
        <f t="shared" ref="P80:P86" si="27">IF(OR(NOT(ISNUMBER(O80)),$D80=0),"",$D80*O80)</f>
        <v/>
      </c>
      <c r="Q80" s="34"/>
    </row>
    <row r="81" spans="1:17" ht="16.5" customHeight="1" x14ac:dyDescent="0.2">
      <c r="A81" s="68" t="str">
        <f>'4 Kriterien'!A72</f>
        <v>W02</v>
      </c>
      <c r="B81" s="69" t="str">
        <f>'4 Kriterien'!B72</f>
        <v>Warenwirtschaft &amp; Kalkulation</v>
      </c>
      <c r="C81" s="40" t="str">
        <f>IF('4 Kriterien'!C72="","",'4 Kriterien'!C72)</f>
        <v>Lagerbestand</v>
      </c>
      <c r="D81" s="82">
        <f>'4 Kriterien'!K72</f>
        <v>3</v>
      </c>
      <c r="E81" s="43" t="str">
        <f>IF('4 Kriterien'!J72="X","X","")</f>
        <v/>
      </c>
      <c r="F81" s="57"/>
      <c r="G81" s="82" t="str">
        <f t="shared" si="24"/>
        <v/>
      </c>
      <c r="H81" s="34"/>
      <c r="I81" s="57"/>
      <c r="J81" s="82" t="str">
        <f t="shared" si="25"/>
        <v/>
      </c>
      <c r="K81" s="34"/>
      <c r="L81" s="57"/>
      <c r="M81" s="82" t="str">
        <f t="shared" si="26"/>
        <v/>
      </c>
      <c r="N81" s="34"/>
      <c r="O81" s="57"/>
      <c r="P81" s="82" t="str">
        <f t="shared" si="27"/>
        <v/>
      </c>
      <c r="Q81" s="34"/>
    </row>
    <row r="82" spans="1:17" ht="16.5" customHeight="1" x14ac:dyDescent="0.2">
      <c r="A82" s="68" t="str">
        <f>'4 Kriterien'!A73</f>
        <v>W03</v>
      </c>
      <c r="B82" s="69" t="str">
        <f>'4 Kriterien'!B73</f>
        <v>Warenwirtschaft &amp; Kalkulation</v>
      </c>
      <c r="C82" s="40" t="str">
        <f>IF('4 Kriterien'!C73="","",'4 Kriterien'!C73)</f>
        <v>Bestellwesen</v>
      </c>
      <c r="D82" s="82">
        <f>'4 Kriterien'!K73</f>
        <v>3</v>
      </c>
      <c r="E82" s="43" t="str">
        <f>IF('4 Kriterien'!J73="X","X","")</f>
        <v/>
      </c>
      <c r="F82" s="57"/>
      <c r="G82" s="82" t="str">
        <f t="shared" si="24"/>
        <v/>
      </c>
      <c r="H82" s="34"/>
      <c r="I82" s="57"/>
      <c r="J82" s="82" t="str">
        <f t="shared" si="25"/>
        <v/>
      </c>
      <c r="K82" s="34"/>
      <c r="L82" s="57"/>
      <c r="M82" s="82" t="str">
        <f t="shared" si="26"/>
        <v/>
      </c>
      <c r="N82" s="34"/>
      <c r="O82" s="57"/>
      <c r="P82" s="82" t="str">
        <f t="shared" si="27"/>
        <v/>
      </c>
      <c r="Q82" s="34"/>
    </row>
    <row r="83" spans="1:17" ht="16.5" customHeight="1" x14ac:dyDescent="0.2">
      <c r="A83" s="68" t="str">
        <f>'4 Kriterien'!A74</f>
        <v>W04</v>
      </c>
      <c r="B83" s="69" t="str">
        <f>'4 Kriterien'!B74</f>
        <v>Warenwirtschaft &amp; Kalkulation</v>
      </c>
      <c r="C83" s="40" t="str">
        <f>IF('4 Kriterien'!C74="","",'4 Kriterien'!C74)</f>
        <v>Inventur</v>
      </c>
      <c r="D83" s="82">
        <f>'4 Kriterien'!K74</f>
        <v>3</v>
      </c>
      <c r="E83" s="43" t="str">
        <f>IF('4 Kriterien'!J74="X","X","")</f>
        <v/>
      </c>
      <c r="F83" s="57"/>
      <c r="G83" s="82" t="str">
        <f t="shared" si="24"/>
        <v/>
      </c>
      <c r="H83" s="34"/>
      <c r="I83" s="57"/>
      <c r="J83" s="82" t="str">
        <f t="shared" si="25"/>
        <v/>
      </c>
      <c r="K83" s="34"/>
      <c r="L83" s="57"/>
      <c r="M83" s="82" t="str">
        <f t="shared" si="26"/>
        <v/>
      </c>
      <c r="N83" s="34"/>
      <c r="O83" s="57"/>
      <c r="P83" s="82" t="str">
        <f t="shared" si="27"/>
        <v/>
      </c>
      <c r="Q83" s="34"/>
    </row>
    <row r="84" spans="1:17" ht="16.5" customHeight="1" x14ac:dyDescent="0.2">
      <c r="A84" s="68" t="str">
        <f>'4 Kriterien'!A75</f>
        <v>W05</v>
      </c>
      <c r="B84" s="69" t="str">
        <f>'4 Kriterien'!B75</f>
        <v>Warenwirtschaft &amp; Kalkulation</v>
      </c>
      <c r="C84" s="40" t="str">
        <f>IF('4 Kriterien'!C75="","",'4 Kriterien'!C75)</f>
        <v>Wareneinsatz-Auswertung</v>
      </c>
      <c r="D84" s="82">
        <f>'4 Kriterien'!K75</f>
        <v>5</v>
      </c>
      <c r="E84" s="43" t="str">
        <f>IF('4 Kriterien'!J75="X","X","")</f>
        <v/>
      </c>
      <c r="F84" s="57"/>
      <c r="G84" s="82" t="str">
        <f t="shared" si="24"/>
        <v/>
      </c>
      <c r="H84" s="34"/>
      <c r="I84" s="57"/>
      <c r="J84" s="82" t="str">
        <f t="shared" si="25"/>
        <v/>
      </c>
      <c r="K84" s="34"/>
      <c r="L84" s="57"/>
      <c r="M84" s="82" t="str">
        <f t="shared" si="26"/>
        <v/>
      </c>
      <c r="N84" s="34"/>
      <c r="O84" s="57"/>
      <c r="P84" s="82" t="str">
        <f t="shared" si="27"/>
        <v/>
      </c>
      <c r="Q84" s="34"/>
    </row>
    <row r="85" spans="1:17" ht="16.5" customHeight="1" x14ac:dyDescent="0.2">
      <c r="A85" s="68" t="str">
        <f>'4 Kriterien'!A76</f>
        <v>W06</v>
      </c>
      <c r="B85" s="69" t="str">
        <f>'4 Kriterien'!B76</f>
        <v>Warenwirtschaft &amp; Kalkulation</v>
      </c>
      <c r="C85" s="40" t="str">
        <f>IF('4 Kriterien'!C76="","",'4 Kriterien'!C76)</f>
        <v>Food-Waste erfassen</v>
      </c>
      <c r="D85" s="82">
        <f>'4 Kriterien'!K76</f>
        <v>1</v>
      </c>
      <c r="E85" s="43" t="str">
        <f>IF('4 Kriterien'!J76="X","X","")</f>
        <v/>
      </c>
      <c r="F85" s="57"/>
      <c r="G85" s="82" t="str">
        <f t="shared" si="24"/>
        <v/>
      </c>
      <c r="H85" s="34"/>
      <c r="I85" s="57"/>
      <c r="J85" s="82" t="str">
        <f t="shared" si="25"/>
        <v/>
      </c>
      <c r="K85" s="34"/>
      <c r="L85" s="57"/>
      <c r="M85" s="82" t="str">
        <f t="shared" si="26"/>
        <v/>
      </c>
      <c r="N85" s="34"/>
      <c r="O85" s="57"/>
      <c r="P85" s="82" t="str">
        <f t="shared" si="27"/>
        <v/>
      </c>
      <c r="Q85" s="34"/>
    </row>
    <row r="86" spans="1:17" ht="16.5" customHeight="1" x14ac:dyDescent="0.2">
      <c r="A86" s="68" t="str">
        <f>'4 Kriterien'!A77</f>
        <v>W07</v>
      </c>
      <c r="B86" s="69" t="str">
        <f>'4 Kriterien'!B77</f>
        <v>Warenwirtschaft &amp; Kalkulation</v>
      </c>
      <c r="C86" s="40" t="str">
        <f>IF('4 Kriterien'!C77="","",'4 Kriterien'!C77)</f>
        <v>Lieferantenrechnungen</v>
      </c>
      <c r="D86" s="82">
        <f>'4 Kriterien'!K77</f>
        <v>1</v>
      </c>
      <c r="E86" s="43" t="str">
        <f>IF('4 Kriterien'!J77="X","X","")</f>
        <v/>
      </c>
      <c r="F86" s="57"/>
      <c r="G86" s="82" t="str">
        <f t="shared" si="24"/>
        <v/>
      </c>
      <c r="H86" s="34"/>
      <c r="I86" s="57"/>
      <c r="J86" s="82" t="str">
        <f t="shared" si="25"/>
        <v/>
      </c>
      <c r="K86" s="34"/>
      <c r="L86" s="57"/>
      <c r="M86" s="82" t="str">
        <f t="shared" si="26"/>
        <v/>
      </c>
      <c r="N86" s="34"/>
      <c r="O86" s="57"/>
      <c r="P86" s="82" t="str">
        <f t="shared" si="27"/>
        <v/>
      </c>
      <c r="Q86" s="34"/>
    </row>
    <row r="87" spans="1:17" ht="19.5" customHeight="1" x14ac:dyDescent="0.2">
      <c r="A87" s="66" t="s">
        <v>142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</row>
    <row r="88" spans="1:17" ht="16.5" customHeight="1" x14ac:dyDescent="0.2">
      <c r="A88" s="68" t="str">
        <f>'4 Kriterien'!A79</f>
        <v>H01</v>
      </c>
      <c r="B88" s="69" t="str">
        <f>'4 Kriterien'!B79</f>
        <v>Hotel (PMS)</v>
      </c>
      <c r="C88" s="40" t="str">
        <f>IF('4 Kriterien'!C79="","",'4 Kriterien'!C79)</f>
        <v>Zimmerplan &amp; Belegung</v>
      </c>
      <c r="D88" s="82">
        <f>'4 Kriterien'!K79</f>
        <v>5</v>
      </c>
      <c r="E88" s="43" t="str">
        <f>IF('4 Kriterien'!J79="X","X","")</f>
        <v/>
      </c>
      <c r="F88" s="57"/>
      <c r="G88" s="82" t="str">
        <f t="shared" ref="G88:G93" si="28">IF(OR(NOT(ISNUMBER(F88)),$D88=0),"",$D88*F88)</f>
        <v/>
      </c>
      <c r="H88" s="34"/>
      <c r="I88" s="57"/>
      <c r="J88" s="82" t="str">
        <f t="shared" ref="J88:J93" si="29">IF(OR(NOT(ISNUMBER(I88)),$D88=0),"",$D88*I88)</f>
        <v/>
      </c>
      <c r="K88" s="34"/>
      <c r="L88" s="57"/>
      <c r="M88" s="82" t="str">
        <f t="shared" ref="M88:M93" si="30">IF(OR(NOT(ISNUMBER(L88)),$D88=0),"",$D88*L88)</f>
        <v/>
      </c>
      <c r="N88" s="34"/>
      <c r="O88" s="57"/>
      <c r="P88" s="82" t="str">
        <f t="shared" ref="P88:P93" si="31">IF(OR(NOT(ISNUMBER(O88)),$D88=0),"",$D88*O88)</f>
        <v/>
      </c>
      <c r="Q88" s="34"/>
    </row>
    <row r="89" spans="1:17" ht="16.5" customHeight="1" x14ac:dyDescent="0.2">
      <c r="A89" s="68" t="str">
        <f>'4 Kriterien'!A80</f>
        <v>H02</v>
      </c>
      <c r="B89" s="69" t="str">
        <f>'4 Kriterien'!B80</f>
        <v>Hotel (PMS)</v>
      </c>
      <c r="C89" s="40" t="str">
        <f>IF('4 Kriterien'!C80="","",'4 Kriterien'!C80)</f>
        <v>Channel Manager</v>
      </c>
      <c r="D89" s="82">
        <f>'4 Kriterien'!K80</f>
        <v>5</v>
      </c>
      <c r="E89" s="43" t="str">
        <f>IF('4 Kriterien'!J80="X","X","")</f>
        <v/>
      </c>
      <c r="F89" s="57"/>
      <c r="G89" s="82" t="str">
        <f t="shared" si="28"/>
        <v/>
      </c>
      <c r="H89" s="34"/>
      <c r="I89" s="57"/>
      <c r="J89" s="82" t="str">
        <f t="shared" si="29"/>
        <v/>
      </c>
      <c r="K89" s="34"/>
      <c r="L89" s="57"/>
      <c r="M89" s="82" t="str">
        <f t="shared" si="30"/>
        <v/>
      </c>
      <c r="N89" s="34"/>
      <c r="O89" s="57"/>
      <c r="P89" s="82" t="str">
        <f t="shared" si="31"/>
        <v/>
      </c>
      <c r="Q89" s="34"/>
    </row>
    <row r="90" spans="1:17" ht="16.5" customHeight="1" x14ac:dyDescent="0.2">
      <c r="A90" s="68" t="str">
        <f>'4 Kriterien'!A81</f>
        <v>H03</v>
      </c>
      <c r="B90" s="69" t="str">
        <f>'4 Kriterien'!B81</f>
        <v>Hotel (PMS)</v>
      </c>
      <c r="C90" s="40" t="str">
        <f>IF('4 Kriterien'!C81="","",'4 Kriterien'!C81)</f>
        <v>Direktbuchung (Booking Engine)</v>
      </c>
      <c r="D90" s="82">
        <f>'4 Kriterien'!K81</f>
        <v>5</v>
      </c>
      <c r="E90" s="43" t="str">
        <f>IF('4 Kriterien'!J81="X","X","")</f>
        <v/>
      </c>
      <c r="F90" s="57"/>
      <c r="G90" s="82" t="str">
        <f t="shared" si="28"/>
        <v/>
      </c>
      <c r="H90" s="34"/>
      <c r="I90" s="57"/>
      <c r="J90" s="82" t="str">
        <f t="shared" si="29"/>
        <v/>
      </c>
      <c r="K90" s="34"/>
      <c r="L90" s="57"/>
      <c r="M90" s="82" t="str">
        <f t="shared" si="30"/>
        <v/>
      </c>
      <c r="N90" s="34"/>
      <c r="O90" s="57"/>
      <c r="P90" s="82" t="str">
        <f t="shared" si="31"/>
        <v/>
      </c>
      <c r="Q90" s="34"/>
    </row>
    <row r="91" spans="1:17" ht="16.5" customHeight="1" x14ac:dyDescent="0.2">
      <c r="A91" s="68" t="str">
        <f>'4 Kriterien'!A82</f>
        <v>H04</v>
      </c>
      <c r="B91" s="69" t="str">
        <f>'4 Kriterien'!B82</f>
        <v>Hotel (PMS)</v>
      </c>
      <c r="C91" s="40" t="str">
        <f>IF('4 Kriterien'!C82="","",'4 Kriterien'!C82)</f>
        <v>Gästemeldung &amp; Kurtaxe</v>
      </c>
      <c r="D91" s="82">
        <f>'4 Kriterien'!K82</f>
        <v>5</v>
      </c>
      <c r="E91" s="43" t="str">
        <f>IF('4 Kriterien'!J82="X","X","")</f>
        <v/>
      </c>
      <c r="F91" s="57"/>
      <c r="G91" s="82" t="str">
        <f t="shared" si="28"/>
        <v/>
      </c>
      <c r="H91" s="34"/>
      <c r="I91" s="57"/>
      <c r="J91" s="82" t="str">
        <f t="shared" si="29"/>
        <v/>
      </c>
      <c r="K91" s="34"/>
      <c r="L91" s="57"/>
      <c r="M91" s="82" t="str">
        <f t="shared" si="30"/>
        <v/>
      </c>
      <c r="N91" s="34"/>
      <c r="O91" s="57"/>
      <c r="P91" s="82" t="str">
        <f t="shared" si="31"/>
        <v/>
      </c>
      <c r="Q91" s="34"/>
    </row>
    <row r="92" spans="1:17" ht="16.5" customHeight="1" x14ac:dyDescent="0.2">
      <c r="A92" s="68" t="str">
        <f>'4 Kriterien'!A83</f>
        <v>H05</v>
      </c>
      <c r="B92" s="69" t="str">
        <f>'4 Kriterien'!B83</f>
        <v>Hotel (PMS)</v>
      </c>
      <c r="C92" s="40" t="str">
        <f>IF('4 Kriterien'!C83="","",'4 Kriterien'!C83)</f>
        <v>Housekeeping</v>
      </c>
      <c r="D92" s="82">
        <f>'4 Kriterien'!K83</f>
        <v>3</v>
      </c>
      <c r="E92" s="43" t="str">
        <f>IF('4 Kriterien'!J83="X","X","")</f>
        <v/>
      </c>
      <c r="F92" s="57"/>
      <c r="G92" s="82" t="str">
        <f t="shared" si="28"/>
        <v/>
      </c>
      <c r="H92" s="34"/>
      <c r="I92" s="57"/>
      <c r="J92" s="82" t="str">
        <f t="shared" si="29"/>
        <v/>
      </c>
      <c r="K92" s="34"/>
      <c r="L92" s="57"/>
      <c r="M92" s="82" t="str">
        <f t="shared" si="30"/>
        <v/>
      </c>
      <c r="N92" s="34"/>
      <c r="O92" s="57"/>
      <c r="P92" s="82" t="str">
        <f t="shared" si="31"/>
        <v/>
      </c>
      <c r="Q92" s="34"/>
    </row>
    <row r="93" spans="1:17" ht="16.5" customHeight="1" x14ac:dyDescent="0.2">
      <c r="A93" s="68" t="str">
        <f>'4 Kriterien'!A84</f>
        <v>H06</v>
      </c>
      <c r="B93" s="69" t="str">
        <f>'4 Kriterien'!B84</f>
        <v>Hotel (PMS)</v>
      </c>
      <c r="C93" s="40" t="str">
        <f>IF('4 Kriterien'!C84="","",'4 Kriterien'!C84)</f>
        <v>Preise &amp; Raten</v>
      </c>
      <c r="D93" s="82">
        <f>'4 Kriterien'!K84</f>
        <v>3</v>
      </c>
      <c r="E93" s="43" t="str">
        <f>IF('4 Kriterien'!J84="X","X","")</f>
        <v/>
      </c>
      <c r="F93" s="57"/>
      <c r="G93" s="82" t="str">
        <f t="shared" si="28"/>
        <v/>
      </c>
      <c r="H93" s="34"/>
      <c r="I93" s="57"/>
      <c r="J93" s="82" t="str">
        <f t="shared" si="29"/>
        <v/>
      </c>
      <c r="K93" s="34"/>
      <c r="L93" s="57"/>
      <c r="M93" s="82" t="str">
        <f t="shared" si="30"/>
        <v/>
      </c>
      <c r="N93" s="34"/>
      <c r="O93" s="57"/>
      <c r="P93" s="82" t="str">
        <f t="shared" si="31"/>
        <v/>
      </c>
      <c r="Q93" s="34"/>
    </row>
    <row r="94" spans="1:17" ht="19.5" customHeight="1" x14ac:dyDescent="0.2">
      <c r="A94" s="66" t="s">
        <v>145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</row>
    <row r="95" spans="1:17" ht="16.5" customHeight="1" x14ac:dyDescent="0.2">
      <c r="A95" s="68" t="str">
        <f>'4 Kriterien'!A86</f>
        <v>E01</v>
      </c>
      <c r="B95" s="69" t="str">
        <f>'4 Kriterien'!B86</f>
        <v>Events &amp; Bankette</v>
      </c>
      <c r="C95" s="40" t="str">
        <f>IF('4 Kriterien'!C86="","",'4 Kriterien'!C86)</f>
        <v>Offerte &amp; Rechnung</v>
      </c>
      <c r="D95" s="82">
        <f>'4 Kriterien'!K86</f>
        <v>5</v>
      </c>
      <c r="E95" s="43" t="str">
        <f>IF('4 Kriterien'!J86="X","X","")</f>
        <v/>
      </c>
      <c r="F95" s="57"/>
      <c r="G95" s="82" t="str">
        <f t="shared" ref="G95:G101" si="32">IF(OR(NOT(ISNUMBER(F95)),$D95=0),"",$D95*F95)</f>
        <v/>
      </c>
      <c r="H95" s="34"/>
      <c r="I95" s="57"/>
      <c r="J95" s="82" t="str">
        <f t="shared" ref="J95:J101" si="33">IF(OR(NOT(ISNUMBER(I95)),$D95=0),"",$D95*I95)</f>
        <v/>
      </c>
      <c r="K95" s="34"/>
      <c r="L95" s="57"/>
      <c r="M95" s="82" t="str">
        <f t="shared" ref="M95:M101" si="34">IF(OR(NOT(ISNUMBER(L95)),$D95=0),"",$D95*L95)</f>
        <v/>
      </c>
      <c r="N95" s="34"/>
      <c r="O95" s="57"/>
      <c r="P95" s="82" t="str">
        <f t="shared" ref="P95:P101" si="35">IF(OR(NOT(ISNUMBER(O95)),$D95=0),"",$D95*O95)</f>
        <v/>
      </c>
      <c r="Q95" s="34"/>
    </row>
    <row r="96" spans="1:17" ht="16.5" customHeight="1" x14ac:dyDescent="0.2">
      <c r="A96" s="68" t="str">
        <f>'4 Kriterien'!A87</f>
        <v>E02</v>
      </c>
      <c r="B96" s="69" t="str">
        <f>'4 Kriterien'!B87</f>
        <v>Events &amp; Bankette</v>
      </c>
      <c r="C96" s="40" t="str">
        <f>IF('4 Kriterien'!C87="","",'4 Kriterien'!C87)</f>
        <v>Digitale Offertannahme</v>
      </c>
      <c r="D96" s="82">
        <f>'4 Kriterien'!K87</f>
        <v>3</v>
      </c>
      <c r="E96" s="43" t="str">
        <f>IF('4 Kriterien'!J87="X","X","")</f>
        <v/>
      </c>
      <c r="F96" s="57"/>
      <c r="G96" s="82" t="str">
        <f t="shared" si="32"/>
        <v/>
      </c>
      <c r="H96" s="34"/>
      <c r="I96" s="57"/>
      <c r="J96" s="82" t="str">
        <f t="shared" si="33"/>
        <v/>
      </c>
      <c r="K96" s="34"/>
      <c r="L96" s="57"/>
      <c r="M96" s="82" t="str">
        <f t="shared" si="34"/>
        <v/>
      </c>
      <c r="N96" s="34"/>
      <c r="O96" s="57"/>
      <c r="P96" s="82" t="str">
        <f t="shared" si="35"/>
        <v/>
      </c>
      <c r="Q96" s="34"/>
    </row>
    <row r="97" spans="1:17" ht="16.5" customHeight="1" x14ac:dyDescent="0.2">
      <c r="A97" s="68" t="str">
        <f>'4 Kriterien'!A88</f>
        <v>E03</v>
      </c>
      <c r="B97" s="69" t="str">
        <f>'4 Kriterien'!B88</f>
        <v>Events &amp; Bankette</v>
      </c>
      <c r="C97" s="40" t="str">
        <f>IF('4 Kriterien'!C88="","",'4 Kriterien'!C88)</f>
        <v>Raum- &amp; Ressourcenplanung</v>
      </c>
      <c r="D97" s="82">
        <f>'4 Kriterien'!K88</f>
        <v>5</v>
      </c>
      <c r="E97" s="43" t="str">
        <f>IF('4 Kriterien'!J88="X","X","")</f>
        <v/>
      </c>
      <c r="F97" s="57"/>
      <c r="G97" s="82" t="str">
        <f t="shared" si="32"/>
        <v/>
      </c>
      <c r="H97" s="34"/>
      <c r="I97" s="57"/>
      <c r="J97" s="82" t="str">
        <f t="shared" si="33"/>
        <v/>
      </c>
      <c r="K97" s="34"/>
      <c r="L97" s="57"/>
      <c r="M97" s="82" t="str">
        <f t="shared" si="34"/>
        <v/>
      </c>
      <c r="N97" s="34"/>
      <c r="O97" s="57"/>
      <c r="P97" s="82" t="str">
        <f t="shared" si="35"/>
        <v/>
      </c>
      <c r="Q97" s="34"/>
    </row>
    <row r="98" spans="1:17" ht="16.5" customHeight="1" x14ac:dyDescent="0.2">
      <c r="A98" s="68" t="str">
        <f>'4 Kriterien'!A89</f>
        <v>E04</v>
      </c>
      <c r="B98" s="69" t="str">
        <f>'4 Kriterien'!B89</f>
        <v>Events &amp; Bankette</v>
      </c>
      <c r="C98" s="40" t="str">
        <f>IF('4 Kriterien'!C89="","",'4 Kriterien'!C89)</f>
        <v>Bestuhlungs- &amp; Raumplan</v>
      </c>
      <c r="D98" s="82">
        <f>'4 Kriterien'!K89</f>
        <v>3</v>
      </c>
      <c r="E98" s="43" t="str">
        <f>IF('4 Kriterien'!J89="X","X","")</f>
        <v/>
      </c>
      <c r="F98" s="57"/>
      <c r="G98" s="82" t="str">
        <f t="shared" si="32"/>
        <v/>
      </c>
      <c r="H98" s="34"/>
      <c r="I98" s="57"/>
      <c r="J98" s="82" t="str">
        <f t="shared" si="33"/>
        <v/>
      </c>
      <c r="K98" s="34"/>
      <c r="L98" s="57"/>
      <c r="M98" s="82" t="str">
        <f t="shared" si="34"/>
        <v/>
      </c>
      <c r="N98" s="34"/>
      <c r="O98" s="57"/>
      <c r="P98" s="82" t="str">
        <f t="shared" si="35"/>
        <v/>
      </c>
      <c r="Q98" s="34"/>
    </row>
    <row r="99" spans="1:17" ht="16.5" customHeight="1" x14ac:dyDescent="0.2">
      <c r="A99" s="68" t="str">
        <f>'4 Kriterien'!A90</f>
        <v>E05</v>
      </c>
      <c r="B99" s="69" t="str">
        <f>'4 Kriterien'!B90</f>
        <v>Events &amp; Bankette</v>
      </c>
      <c r="C99" s="40" t="str">
        <f>IF('4 Kriterien'!C90="","",'4 Kriterien'!C90)</f>
        <v>Ablaufblatt für Küche &amp; Service</v>
      </c>
      <c r="D99" s="82">
        <f>'4 Kriterien'!K90</f>
        <v>5</v>
      </c>
      <c r="E99" s="43" t="str">
        <f>IF('4 Kriterien'!J90="X","X","")</f>
        <v/>
      </c>
      <c r="F99" s="57"/>
      <c r="G99" s="82" t="str">
        <f t="shared" si="32"/>
        <v/>
      </c>
      <c r="H99" s="34"/>
      <c r="I99" s="57"/>
      <c r="J99" s="82" t="str">
        <f t="shared" si="33"/>
        <v/>
      </c>
      <c r="K99" s="34"/>
      <c r="L99" s="57"/>
      <c r="M99" s="82" t="str">
        <f t="shared" si="34"/>
        <v/>
      </c>
      <c r="N99" s="34"/>
      <c r="O99" s="57"/>
      <c r="P99" s="82" t="str">
        <f t="shared" si="35"/>
        <v/>
      </c>
      <c r="Q99" s="34"/>
    </row>
    <row r="100" spans="1:17" ht="16.5" customHeight="1" x14ac:dyDescent="0.2">
      <c r="A100" s="68" t="str">
        <f>'4 Kriterien'!A91</f>
        <v>E06</v>
      </c>
      <c r="B100" s="69" t="str">
        <f>'4 Kriterien'!B91</f>
        <v>Events &amp; Bankette</v>
      </c>
      <c r="C100" s="40" t="str">
        <f>IF('4 Kriterien'!C91="","",'4 Kriterien'!C91)</f>
        <v>Kundenverwaltung &amp; Historie</v>
      </c>
      <c r="D100" s="82">
        <f>'4 Kriterien'!K91</f>
        <v>3</v>
      </c>
      <c r="E100" s="43" t="str">
        <f>IF('4 Kriterien'!J91="X","X","")</f>
        <v/>
      </c>
      <c r="F100" s="57"/>
      <c r="G100" s="82" t="str">
        <f t="shared" si="32"/>
        <v/>
      </c>
      <c r="H100" s="34"/>
      <c r="I100" s="57"/>
      <c r="J100" s="82" t="str">
        <f t="shared" si="33"/>
        <v/>
      </c>
      <c r="K100" s="34"/>
      <c r="L100" s="57"/>
      <c r="M100" s="82" t="str">
        <f t="shared" si="34"/>
        <v/>
      </c>
      <c r="N100" s="34"/>
      <c r="O100" s="57"/>
      <c r="P100" s="82" t="str">
        <f t="shared" si="35"/>
        <v/>
      </c>
      <c r="Q100" s="34"/>
    </row>
    <row r="101" spans="1:17" ht="16.5" customHeight="1" x14ac:dyDescent="0.2">
      <c r="A101" s="68" t="str">
        <f>'4 Kriterien'!A92</f>
        <v>E07</v>
      </c>
      <c r="B101" s="69" t="str">
        <f>'4 Kriterien'!B92</f>
        <v>Events &amp; Bankette</v>
      </c>
      <c r="C101" s="40" t="str">
        <f>IF('4 Kriterien'!C92="","",'4 Kriterien'!C92)</f>
        <v>Partner &amp; Provisionen</v>
      </c>
      <c r="D101" s="82">
        <f>'4 Kriterien'!K92</f>
        <v>1</v>
      </c>
      <c r="E101" s="43" t="str">
        <f>IF('4 Kriterien'!J92="X","X","")</f>
        <v/>
      </c>
      <c r="F101" s="57"/>
      <c r="G101" s="82" t="str">
        <f t="shared" si="32"/>
        <v/>
      </c>
      <c r="H101" s="34"/>
      <c r="I101" s="57"/>
      <c r="J101" s="82" t="str">
        <f t="shared" si="33"/>
        <v/>
      </c>
      <c r="K101" s="34"/>
      <c r="L101" s="57"/>
      <c r="M101" s="82" t="str">
        <f t="shared" si="34"/>
        <v/>
      </c>
      <c r="N101" s="34"/>
      <c r="O101" s="57"/>
      <c r="P101" s="82" t="str">
        <f t="shared" si="35"/>
        <v/>
      </c>
      <c r="Q101" s="34"/>
    </row>
    <row r="102" spans="1:17" ht="19.5" customHeight="1" x14ac:dyDescent="0.2">
      <c r="A102" s="66" t="s">
        <v>148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</row>
    <row r="103" spans="1:17" ht="16.5" customHeight="1" x14ac:dyDescent="0.2">
      <c r="A103" s="68" t="str">
        <f>'4 Kriterien'!A94</f>
        <v>O01</v>
      </c>
      <c r="B103" s="69" t="str">
        <f>'4 Kriterien'!B94</f>
        <v>Online-Bestellung &amp; Lieferung</v>
      </c>
      <c r="C103" s="40" t="str">
        <f>IF('4 Kriterien'!C94="","",'4 Kriterien'!C94)</f>
        <v>Eigener Bestellshop</v>
      </c>
      <c r="D103" s="82">
        <f>'4 Kriterien'!K94</f>
        <v>3</v>
      </c>
      <c r="E103" s="43" t="str">
        <f>IF('4 Kriterien'!J94="X","X","")</f>
        <v/>
      </c>
      <c r="F103" s="57"/>
      <c r="G103" s="82" t="str">
        <f>IF(OR(NOT(ISNUMBER(F103)),$D103=0),"",$D103*F103)</f>
        <v/>
      </c>
      <c r="H103" s="34"/>
      <c r="I103" s="57"/>
      <c r="J103" s="82" t="str">
        <f>IF(OR(NOT(ISNUMBER(I103)),$D103=0),"",$D103*I103)</f>
        <v/>
      </c>
      <c r="K103" s="34"/>
      <c r="L103" s="57"/>
      <c r="M103" s="82" t="str">
        <f>IF(OR(NOT(ISNUMBER(L103)),$D103=0),"",$D103*L103)</f>
        <v/>
      </c>
      <c r="N103" s="34"/>
      <c r="O103" s="57"/>
      <c r="P103" s="82" t="str">
        <f>IF(OR(NOT(ISNUMBER(O103)),$D103=0),"",$D103*O103)</f>
        <v/>
      </c>
      <c r="Q103" s="34"/>
    </row>
    <row r="104" spans="1:17" ht="16.5" customHeight="1" x14ac:dyDescent="0.2">
      <c r="A104" s="68" t="str">
        <f>'4 Kriterien'!A95</f>
        <v>O02</v>
      </c>
      <c r="B104" s="69" t="str">
        <f>'4 Kriterien'!B95</f>
        <v>Online-Bestellung &amp; Lieferung</v>
      </c>
      <c r="C104" s="40" t="str">
        <f>IF('4 Kriterien'!C95="","",'4 Kriterien'!C95)</f>
        <v>Abholzeiten &amp; Kapazität</v>
      </c>
      <c r="D104" s="82">
        <f>'4 Kriterien'!K95</f>
        <v>3</v>
      </c>
      <c r="E104" s="43" t="str">
        <f>IF('4 Kriterien'!J95="X","X","")</f>
        <v/>
      </c>
      <c r="F104" s="57"/>
      <c r="G104" s="82" t="str">
        <f>IF(OR(NOT(ISNUMBER(F104)),$D104=0),"",$D104*F104)</f>
        <v/>
      </c>
      <c r="H104" s="34"/>
      <c r="I104" s="57"/>
      <c r="J104" s="82" t="str">
        <f>IF(OR(NOT(ISNUMBER(I104)),$D104=0),"",$D104*I104)</f>
        <v/>
      </c>
      <c r="K104" s="34"/>
      <c r="L104" s="57"/>
      <c r="M104" s="82" t="str">
        <f>IF(OR(NOT(ISNUMBER(L104)),$D104=0),"",$D104*L104)</f>
        <v/>
      </c>
      <c r="N104" s="34"/>
      <c r="O104" s="57"/>
      <c r="P104" s="82" t="str">
        <f>IF(OR(NOT(ISNUMBER(O104)),$D104=0),"",$D104*O104)</f>
        <v/>
      </c>
      <c r="Q104" s="34"/>
    </row>
    <row r="105" spans="1:17" ht="16.5" customHeight="1" x14ac:dyDescent="0.2">
      <c r="A105" s="68" t="str">
        <f>'4 Kriterien'!A96</f>
        <v>O03</v>
      </c>
      <c r="B105" s="69" t="str">
        <f>'4 Kriterien'!B96</f>
        <v>Online-Bestellung &amp; Lieferung</v>
      </c>
      <c r="C105" s="40" t="str">
        <f>IF('4 Kriterien'!C96="","",'4 Kriterien'!C96)</f>
        <v>Online-Zahlung</v>
      </c>
      <c r="D105" s="82">
        <f>'4 Kriterien'!K96</f>
        <v>3</v>
      </c>
      <c r="E105" s="43" t="str">
        <f>IF('4 Kriterien'!J96="X","X","")</f>
        <v/>
      </c>
      <c r="F105" s="57"/>
      <c r="G105" s="82" t="str">
        <f>IF(OR(NOT(ISNUMBER(F105)),$D105=0),"",$D105*F105)</f>
        <v/>
      </c>
      <c r="H105" s="34"/>
      <c r="I105" s="57"/>
      <c r="J105" s="82" t="str">
        <f>IF(OR(NOT(ISNUMBER(I105)),$D105=0),"",$D105*I105)</f>
        <v/>
      </c>
      <c r="K105" s="34"/>
      <c r="L105" s="57"/>
      <c r="M105" s="82" t="str">
        <f>IF(OR(NOT(ISNUMBER(L105)),$D105=0),"",$D105*L105)</f>
        <v/>
      </c>
      <c r="N105" s="34"/>
      <c r="O105" s="57"/>
      <c r="P105" s="82" t="str">
        <f>IF(OR(NOT(ISNUMBER(O105)),$D105=0),"",$D105*O105)</f>
        <v/>
      </c>
      <c r="Q105" s="34"/>
    </row>
    <row r="106" spans="1:17" ht="16.5" customHeight="1" x14ac:dyDescent="0.2">
      <c r="A106" s="68" t="str">
        <f>'4 Kriterien'!A97</f>
        <v>O04</v>
      </c>
      <c r="B106" s="69" t="str">
        <f>'4 Kriterien'!B97</f>
        <v>Online-Bestellung &amp; Lieferung</v>
      </c>
      <c r="C106" s="40" t="str">
        <f>IF('4 Kriterien'!C97="","",'4 Kriterien'!C97)</f>
        <v>Artikel zentral pflegen</v>
      </c>
      <c r="D106" s="82">
        <f>'4 Kriterien'!K97</f>
        <v>3</v>
      </c>
      <c r="E106" s="43" t="str">
        <f>IF('4 Kriterien'!J97="X","X","")</f>
        <v/>
      </c>
      <c r="F106" s="57"/>
      <c r="G106" s="82" t="str">
        <f>IF(OR(NOT(ISNUMBER(F106)),$D106=0),"",$D106*F106)</f>
        <v/>
      </c>
      <c r="H106" s="34"/>
      <c r="I106" s="57"/>
      <c r="J106" s="82" t="str">
        <f>IF(OR(NOT(ISNUMBER(I106)),$D106=0),"",$D106*I106)</f>
        <v/>
      </c>
      <c r="K106" s="34"/>
      <c r="L106" s="57"/>
      <c r="M106" s="82" t="str">
        <f>IF(OR(NOT(ISNUMBER(L106)),$D106=0),"",$D106*L106)</f>
        <v/>
      </c>
      <c r="N106" s="34"/>
      <c r="O106" s="57"/>
      <c r="P106" s="82" t="str">
        <f>IF(OR(NOT(ISNUMBER(O106)),$D106=0),"",$D106*O106)</f>
        <v/>
      </c>
      <c r="Q106" s="34"/>
    </row>
    <row r="107" spans="1:17" ht="19.5" customHeight="1" x14ac:dyDescent="0.2">
      <c r="A107" s="66" t="s">
        <v>151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</row>
    <row r="108" spans="1:17" ht="16.5" customHeight="1" x14ac:dyDescent="0.2">
      <c r="A108" s="68" t="str">
        <f>'4 Kriterien'!A99</f>
        <v>M01</v>
      </c>
      <c r="B108" s="69" t="str">
        <f>'4 Kriterien'!B99</f>
        <v>Gästebindung &amp; Marketing</v>
      </c>
      <c r="C108" s="40" t="str">
        <f>IF('4 Kriterien'!C99="","",'4 Kriterien'!C99)</f>
        <v>Gästedatenbank</v>
      </c>
      <c r="D108" s="82">
        <f>'4 Kriterien'!K99</f>
        <v>3</v>
      </c>
      <c r="E108" s="43" t="str">
        <f>IF('4 Kriterien'!J99="X","X","")</f>
        <v/>
      </c>
      <c r="F108" s="57"/>
      <c r="G108" s="82" t="str">
        <f>IF(OR(NOT(ISNUMBER(F108)),$D108=0),"",$D108*F108)</f>
        <v/>
      </c>
      <c r="H108" s="34"/>
      <c r="I108" s="57"/>
      <c r="J108" s="82" t="str">
        <f>IF(OR(NOT(ISNUMBER(I108)),$D108=0),"",$D108*I108)</f>
        <v/>
      </c>
      <c r="K108" s="34"/>
      <c r="L108" s="57"/>
      <c r="M108" s="82" t="str">
        <f>IF(OR(NOT(ISNUMBER(L108)),$D108=0),"",$D108*L108)</f>
        <v/>
      </c>
      <c r="N108" s="34"/>
      <c r="O108" s="57"/>
      <c r="P108" s="82" t="str">
        <f>IF(OR(NOT(ISNUMBER(O108)),$D108=0),"",$D108*O108)</f>
        <v/>
      </c>
      <c r="Q108" s="34"/>
    </row>
    <row r="109" spans="1:17" ht="16.5" customHeight="1" x14ac:dyDescent="0.2">
      <c r="A109" s="68" t="str">
        <f>'4 Kriterien'!A100</f>
        <v>M02</v>
      </c>
      <c r="B109" s="69" t="str">
        <f>'4 Kriterien'!B100</f>
        <v>Gästebindung &amp; Marketing</v>
      </c>
      <c r="C109" s="40" t="str">
        <f>IF('4 Kriterien'!C100="","",'4 Kriterien'!C100)</f>
        <v>Newsletter &amp; Kampagnen</v>
      </c>
      <c r="D109" s="82">
        <f>'4 Kriterien'!K100</f>
        <v>3</v>
      </c>
      <c r="E109" s="43" t="str">
        <f>IF('4 Kriterien'!J100="X","X","")</f>
        <v/>
      </c>
      <c r="F109" s="57"/>
      <c r="G109" s="82" t="str">
        <f>IF(OR(NOT(ISNUMBER(F109)),$D109=0),"",$D109*F109)</f>
        <v/>
      </c>
      <c r="H109" s="34"/>
      <c r="I109" s="57"/>
      <c r="J109" s="82" t="str">
        <f>IF(OR(NOT(ISNUMBER(I109)),$D109=0),"",$D109*I109)</f>
        <v/>
      </c>
      <c r="K109" s="34"/>
      <c r="L109" s="57"/>
      <c r="M109" s="82" t="str">
        <f>IF(OR(NOT(ISNUMBER(L109)),$D109=0),"",$D109*L109)</f>
        <v/>
      </c>
      <c r="N109" s="34"/>
      <c r="O109" s="57"/>
      <c r="P109" s="82" t="str">
        <f>IF(OR(NOT(ISNUMBER(O109)),$D109=0),"",$D109*O109)</f>
        <v/>
      </c>
      <c r="Q109" s="34"/>
    </row>
    <row r="110" spans="1:17" ht="16.5" customHeight="1" x14ac:dyDescent="0.2">
      <c r="A110" s="68" t="str">
        <f>'4 Kriterien'!A101</f>
        <v>M03</v>
      </c>
      <c r="B110" s="69" t="str">
        <f>'4 Kriterien'!B101</f>
        <v>Gästebindung &amp; Marketing</v>
      </c>
      <c r="C110" s="40" t="str">
        <f>IF('4 Kriterien'!C101="","",'4 Kriterien'!C101)</f>
        <v>Kundenkarte &amp; Bonusprogramm</v>
      </c>
      <c r="D110" s="82">
        <f>'4 Kriterien'!K101</f>
        <v>1</v>
      </c>
      <c r="E110" s="43" t="str">
        <f>IF('4 Kriterien'!J101="X","X","")</f>
        <v/>
      </c>
      <c r="F110" s="57"/>
      <c r="G110" s="82" t="str">
        <f>IF(OR(NOT(ISNUMBER(F110)),$D110=0),"",$D110*F110)</f>
        <v/>
      </c>
      <c r="H110" s="34"/>
      <c r="I110" s="57"/>
      <c r="J110" s="82" t="str">
        <f>IF(OR(NOT(ISNUMBER(I110)),$D110=0),"",$D110*I110)</f>
        <v/>
      </c>
      <c r="K110" s="34"/>
      <c r="L110" s="57"/>
      <c r="M110" s="82" t="str">
        <f>IF(OR(NOT(ISNUMBER(L110)),$D110=0),"",$D110*L110)</f>
        <v/>
      </c>
      <c r="N110" s="34"/>
      <c r="O110" s="57"/>
      <c r="P110" s="82" t="str">
        <f>IF(OR(NOT(ISNUMBER(O110)),$D110=0),"",$D110*O110)</f>
        <v/>
      </c>
      <c r="Q110" s="34"/>
    </row>
    <row r="111" spans="1:17" ht="16.5" customHeight="1" x14ac:dyDescent="0.2">
      <c r="A111" s="68" t="str">
        <f>'4 Kriterien'!A102</f>
        <v>M04</v>
      </c>
      <c r="B111" s="69" t="str">
        <f>'4 Kriterien'!B102</f>
        <v>Gästebindung &amp; Marketing</v>
      </c>
      <c r="C111" s="40" t="str">
        <f>IF('4 Kriterien'!C102="","",'4 Kriterien'!C102)</f>
        <v>Online-Gutscheine</v>
      </c>
      <c r="D111" s="82">
        <f>'4 Kriterien'!K102</f>
        <v>3</v>
      </c>
      <c r="E111" s="43" t="str">
        <f>IF('4 Kriterien'!J102="X","X","")</f>
        <v/>
      </c>
      <c r="F111" s="57"/>
      <c r="G111" s="82" t="str">
        <f>IF(OR(NOT(ISNUMBER(F111)),$D111=0),"",$D111*F111)</f>
        <v/>
      </c>
      <c r="H111" s="34"/>
      <c r="I111" s="57"/>
      <c r="J111" s="82" t="str">
        <f>IF(OR(NOT(ISNUMBER(I111)),$D111=0),"",$D111*I111)</f>
        <v/>
      </c>
      <c r="K111" s="34"/>
      <c r="L111" s="57"/>
      <c r="M111" s="82" t="str">
        <f>IF(OR(NOT(ISNUMBER(L111)),$D111=0),"",$D111*L111)</f>
        <v/>
      </c>
      <c r="N111" s="34"/>
      <c r="O111" s="57"/>
      <c r="P111" s="82" t="str">
        <f>IF(OR(NOT(ISNUMBER(O111)),$D111=0),"",$D111*O111)</f>
        <v/>
      </c>
      <c r="Q111" s="34"/>
    </row>
    <row r="112" spans="1:17" ht="16.5" customHeight="1" x14ac:dyDescent="0.2">
      <c r="A112" s="68" t="str">
        <f>'4 Kriterien'!A103</f>
        <v>M05</v>
      </c>
      <c r="B112" s="69" t="str">
        <f>'4 Kriterien'!B103</f>
        <v>Gästebindung &amp; Marketing</v>
      </c>
      <c r="C112" s="40" t="str">
        <f>IF('4 Kriterien'!C103="","",'4 Kriterien'!C103)</f>
        <v>Bewertungen</v>
      </c>
      <c r="D112" s="82">
        <f>'4 Kriterien'!K103</f>
        <v>1</v>
      </c>
      <c r="E112" s="43" t="str">
        <f>IF('4 Kriterien'!J103="X","X","")</f>
        <v/>
      </c>
      <c r="F112" s="57"/>
      <c r="G112" s="82" t="str">
        <f>IF(OR(NOT(ISNUMBER(F112)),$D112=0),"",$D112*F112)</f>
        <v/>
      </c>
      <c r="H112" s="34"/>
      <c r="I112" s="57"/>
      <c r="J112" s="82" t="str">
        <f>IF(OR(NOT(ISNUMBER(I112)),$D112=0),"",$D112*I112)</f>
        <v/>
      </c>
      <c r="K112" s="34"/>
      <c r="L112" s="57"/>
      <c r="M112" s="82" t="str">
        <f>IF(OR(NOT(ISNUMBER(L112)),$D112=0),"",$D112*L112)</f>
        <v/>
      </c>
      <c r="N112" s="34"/>
      <c r="O112" s="57"/>
      <c r="P112" s="82" t="str">
        <f>IF(OR(NOT(ISNUMBER(O112)),$D112=0),"",$D112*O112)</f>
        <v/>
      </c>
      <c r="Q112" s="34"/>
    </row>
    <row r="113" spans="1:17" ht="19.5" customHeight="1" x14ac:dyDescent="0.2">
      <c r="A113" s="66" t="s">
        <v>564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</row>
    <row r="114" spans="1:17" ht="16.5" customHeight="1" x14ac:dyDescent="0.2">
      <c r="A114" s="68" t="str">
        <f>'4 Kriterien'!A105</f>
        <v>X01</v>
      </c>
      <c r="B114" s="69" t="str">
        <f>'4 Kriterien'!B105</f>
        <v>Auswertung &amp; Reporting</v>
      </c>
      <c r="C114" s="40" t="str">
        <f>IF('4 Kriterien'!C105="","",'4 Kriterien'!C105)</f>
        <v>Umsatz in Echtzeit</v>
      </c>
      <c r="D114" s="82">
        <f>'4 Kriterien'!K105</f>
        <v>5</v>
      </c>
      <c r="E114" s="43" t="str">
        <f>IF('4 Kriterien'!J105="X","X","")</f>
        <v/>
      </c>
      <c r="F114" s="57"/>
      <c r="G114" s="82" t="str">
        <f t="shared" ref="G114:G119" si="36">IF(OR(NOT(ISNUMBER(F114)),$D114=0),"",$D114*F114)</f>
        <v/>
      </c>
      <c r="H114" s="34"/>
      <c r="I114" s="57"/>
      <c r="J114" s="82" t="str">
        <f t="shared" ref="J114:J119" si="37">IF(OR(NOT(ISNUMBER(I114)),$D114=0),"",$D114*I114)</f>
        <v/>
      </c>
      <c r="K114" s="34"/>
      <c r="L114" s="57"/>
      <c r="M114" s="82" t="str">
        <f t="shared" ref="M114:M119" si="38">IF(OR(NOT(ISNUMBER(L114)),$D114=0),"",$D114*L114)</f>
        <v/>
      </c>
      <c r="N114" s="34"/>
      <c r="O114" s="57"/>
      <c r="P114" s="82" t="str">
        <f t="shared" ref="P114:P119" si="39">IF(OR(NOT(ISNUMBER(O114)),$D114=0),"",$D114*O114)</f>
        <v/>
      </c>
      <c r="Q114" s="34"/>
    </row>
    <row r="115" spans="1:17" ht="16.5" customHeight="1" x14ac:dyDescent="0.2">
      <c r="A115" s="68" t="str">
        <f>'4 Kriterien'!A106</f>
        <v>X02</v>
      </c>
      <c r="B115" s="69" t="str">
        <f>'4 Kriterien'!B106</f>
        <v>Auswertung &amp; Reporting</v>
      </c>
      <c r="C115" s="40" t="str">
        <f>IF('4 Kriterien'!C106="","",'4 Kriterien'!C106)</f>
        <v>Standardberichte</v>
      </c>
      <c r="D115" s="82">
        <f>'4 Kriterien'!K106</f>
        <v>5</v>
      </c>
      <c r="E115" s="43" t="str">
        <f>IF('4 Kriterien'!J106="X","X","")</f>
        <v/>
      </c>
      <c r="F115" s="57"/>
      <c r="G115" s="82" t="str">
        <f t="shared" si="36"/>
        <v/>
      </c>
      <c r="H115" s="34"/>
      <c r="I115" s="57"/>
      <c r="J115" s="82" t="str">
        <f t="shared" si="37"/>
        <v/>
      </c>
      <c r="K115" s="34"/>
      <c r="L115" s="57"/>
      <c r="M115" s="82" t="str">
        <f t="shared" si="38"/>
        <v/>
      </c>
      <c r="N115" s="34"/>
      <c r="O115" s="57"/>
      <c r="P115" s="82" t="str">
        <f t="shared" si="39"/>
        <v/>
      </c>
      <c r="Q115" s="34"/>
    </row>
    <row r="116" spans="1:17" ht="16.5" customHeight="1" x14ac:dyDescent="0.2">
      <c r="A116" s="68" t="str">
        <f>'4 Kriterien'!A107</f>
        <v>X03</v>
      </c>
      <c r="B116" s="69" t="str">
        <f>'4 Kriterien'!B107</f>
        <v>Auswertung &amp; Reporting</v>
      </c>
      <c r="C116" s="40" t="str">
        <f>IF('4 Kriterien'!C107="","",'4 Kriterien'!C107)</f>
        <v>Eigene Auswertungen</v>
      </c>
      <c r="D116" s="82">
        <f>'4 Kriterien'!K107</f>
        <v>3</v>
      </c>
      <c r="E116" s="43" t="str">
        <f>IF('4 Kriterien'!J107="X","X","")</f>
        <v/>
      </c>
      <c r="F116" s="57"/>
      <c r="G116" s="82" t="str">
        <f t="shared" si="36"/>
        <v/>
      </c>
      <c r="H116" s="34"/>
      <c r="I116" s="57"/>
      <c r="J116" s="82" t="str">
        <f t="shared" si="37"/>
        <v/>
      </c>
      <c r="K116" s="34"/>
      <c r="L116" s="57"/>
      <c r="M116" s="82" t="str">
        <f t="shared" si="38"/>
        <v/>
      </c>
      <c r="N116" s="34"/>
      <c r="O116" s="57"/>
      <c r="P116" s="82" t="str">
        <f t="shared" si="39"/>
        <v/>
      </c>
      <c r="Q116" s="34"/>
    </row>
    <row r="117" spans="1:17" ht="16.5" customHeight="1" x14ac:dyDescent="0.2">
      <c r="A117" s="68" t="str">
        <f>'4 Kriterien'!A108</f>
        <v>X04</v>
      </c>
      <c r="B117" s="69" t="str">
        <f>'4 Kriterien'!B108</f>
        <v>Auswertung &amp; Reporting</v>
      </c>
      <c r="C117" s="40" t="str">
        <f>IF('4 Kriterien'!C108="","",'4 Kriterien'!C108)</f>
        <v>Dashboard mit Kennzahlen</v>
      </c>
      <c r="D117" s="82">
        <f>'4 Kriterien'!K108</f>
        <v>3</v>
      </c>
      <c r="E117" s="43" t="str">
        <f>IF('4 Kriterien'!J108="X","X","")</f>
        <v/>
      </c>
      <c r="F117" s="57"/>
      <c r="G117" s="82" t="str">
        <f t="shared" si="36"/>
        <v/>
      </c>
      <c r="H117" s="34"/>
      <c r="I117" s="57"/>
      <c r="J117" s="82" t="str">
        <f t="shared" si="37"/>
        <v/>
      </c>
      <c r="K117" s="34"/>
      <c r="L117" s="57"/>
      <c r="M117" s="82" t="str">
        <f t="shared" si="38"/>
        <v/>
      </c>
      <c r="N117" s="34"/>
      <c r="O117" s="57"/>
      <c r="P117" s="82" t="str">
        <f t="shared" si="39"/>
        <v/>
      </c>
      <c r="Q117" s="34"/>
    </row>
    <row r="118" spans="1:17" ht="16.5" customHeight="1" x14ac:dyDescent="0.2">
      <c r="A118" s="68" t="str">
        <f>'4 Kriterien'!A109</f>
        <v>X05</v>
      </c>
      <c r="B118" s="69" t="str">
        <f>'4 Kriterien'!B109</f>
        <v>Auswertung &amp; Reporting</v>
      </c>
      <c r="C118" s="40" t="str">
        <f>IF('4 Kriterien'!C109="","",'4 Kriterien'!C109)</f>
        <v>Historie &amp; Vorjahresvergleich</v>
      </c>
      <c r="D118" s="82">
        <f>'4 Kriterien'!K109</f>
        <v>3</v>
      </c>
      <c r="E118" s="43" t="str">
        <f>IF('4 Kriterien'!J109="X","X","")</f>
        <v/>
      </c>
      <c r="F118" s="57"/>
      <c r="G118" s="82" t="str">
        <f t="shared" si="36"/>
        <v/>
      </c>
      <c r="H118" s="34"/>
      <c r="I118" s="57"/>
      <c r="J118" s="82" t="str">
        <f t="shared" si="37"/>
        <v/>
      </c>
      <c r="K118" s="34"/>
      <c r="L118" s="57"/>
      <c r="M118" s="82" t="str">
        <f t="shared" si="38"/>
        <v/>
      </c>
      <c r="N118" s="34"/>
      <c r="O118" s="57"/>
      <c r="P118" s="82" t="str">
        <f t="shared" si="39"/>
        <v/>
      </c>
      <c r="Q118" s="34"/>
    </row>
    <row r="119" spans="1:17" ht="16.5" customHeight="1" x14ac:dyDescent="0.2">
      <c r="A119" s="68" t="str">
        <f>'4 Kriterien'!A110</f>
        <v>X06</v>
      </c>
      <c r="B119" s="69" t="str">
        <f>'4 Kriterien'!B110</f>
        <v>Auswertung &amp; Reporting</v>
      </c>
      <c r="C119" s="40" t="str">
        <f>IF('4 Kriterien'!C110="","",'4 Kriterien'!C110)</f>
        <v>Standortvergleich</v>
      </c>
      <c r="D119" s="82">
        <f>'4 Kriterien'!K110</f>
        <v>3</v>
      </c>
      <c r="E119" s="43" t="str">
        <f>IF('4 Kriterien'!J110="X","X","")</f>
        <v/>
      </c>
      <c r="F119" s="57"/>
      <c r="G119" s="82" t="str">
        <f t="shared" si="36"/>
        <v/>
      </c>
      <c r="H119" s="34"/>
      <c r="I119" s="57"/>
      <c r="J119" s="82" t="str">
        <f t="shared" si="37"/>
        <v/>
      </c>
      <c r="K119" s="34"/>
      <c r="L119" s="57"/>
      <c r="M119" s="82" t="str">
        <f t="shared" si="38"/>
        <v/>
      </c>
      <c r="N119" s="34"/>
      <c r="O119" s="57"/>
      <c r="P119" s="82" t="str">
        <f t="shared" si="39"/>
        <v/>
      </c>
      <c r="Q119" s="34"/>
    </row>
    <row r="120" spans="1:17" ht="19.5" customHeight="1" x14ac:dyDescent="0.2">
      <c r="A120" s="66" t="s">
        <v>583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</row>
    <row r="121" spans="1:17" ht="16.5" customHeight="1" x14ac:dyDescent="0.2">
      <c r="A121" s="68" t="str">
        <f>'4 Kriterien'!A112</f>
        <v>S01</v>
      </c>
      <c r="B121" s="69" t="str">
        <f>'4 Kriterien'!B112</f>
        <v>Sicherheit &amp; Datenschutz</v>
      </c>
      <c r="C121" s="40" t="str">
        <f>IF('4 Kriterien'!C112="","",'4 Kriterien'!C112)</f>
        <v>Datenstandort</v>
      </c>
      <c r="D121" s="82">
        <f>'4 Kriterien'!K112</f>
        <v>5</v>
      </c>
      <c r="E121" s="43" t="str">
        <f>IF('4 Kriterien'!J112="X","X","")</f>
        <v/>
      </c>
      <c r="F121" s="57"/>
      <c r="G121" s="82" t="str">
        <f>IF(OR(NOT(ISNUMBER(F121)),$D121=0),"",$D121*F121)</f>
        <v/>
      </c>
      <c r="H121" s="34"/>
      <c r="I121" s="57"/>
      <c r="J121" s="82" t="str">
        <f>IF(OR(NOT(ISNUMBER(I121)),$D121=0),"",$D121*I121)</f>
        <v/>
      </c>
      <c r="K121" s="34"/>
      <c r="L121" s="57"/>
      <c r="M121" s="82" t="str">
        <f>IF(OR(NOT(ISNUMBER(L121)),$D121=0),"",$D121*L121)</f>
        <v/>
      </c>
      <c r="N121" s="34"/>
      <c r="O121" s="57"/>
      <c r="P121" s="82" t="str">
        <f>IF(OR(NOT(ISNUMBER(O121)),$D121=0),"",$D121*O121)</f>
        <v/>
      </c>
      <c r="Q121" s="34"/>
    </row>
    <row r="122" spans="1:17" ht="16.5" customHeight="1" x14ac:dyDescent="0.2">
      <c r="A122" s="68" t="str">
        <f>'4 Kriterien'!A113</f>
        <v>S02</v>
      </c>
      <c r="B122" s="69" t="str">
        <f>'4 Kriterien'!B113</f>
        <v>Sicherheit &amp; Datenschutz</v>
      </c>
      <c r="C122" s="40" t="str">
        <f>IF('4 Kriterien'!C113="","",'4 Kriterien'!C113)</f>
        <v>Datenschutz (DSG / DSGVO)</v>
      </c>
      <c r="D122" s="82">
        <f>'4 Kriterien'!K113</f>
        <v>5</v>
      </c>
      <c r="E122" s="43" t="str">
        <f>IF('4 Kriterien'!J113="X","X","")</f>
        <v/>
      </c>
      <c r="F122" s="57"/>
      <c r="G122" s="82" t="str">
        <f>IF(OR(NOT(ISNUMBER(F122)),$D122=0),"",$D122*F122)</f>
        <v/>
      </c>
      <c r="H122" s="34"/>
      <c r="I122" s="57"/>
      <c r="J122" s="82" t="str">
        <f>IF(OR(NOT(ISNUMBER(I122)),$D122=0),"",$D122*I122)</f>
        <v/>
      </c>
      <c r="K122" s="34"/>
      <c r="L122" s="57"/>
      <c r="M122" s="82" t="str">
        <f>IF(OR(NOT(ISNUMBER(L122)),$D122=0),"",$D122*L122)</f>
        <v/>
      </c>
      <c r="N122" s="34"/>
      <c r="O122" s="57"/>
      <c r="P122" s="82" t="str">
        <f>IF(OR(NOT(ISNUMBER(O122)),$D122=0),"",$D122*O122)</f>
        <v/>
      </c>
      <c r="Q122" s="34"/>
    </row>
    <row r="123" spans="1:17" ht="16.5" customHeight="1" x14ac:dyDescent="0.2">
      <c r="A123" s="68" t="str">
        <f>'4 Kriterien'!A114</f>
        <v>S03</v>
      </c>
      <c r="B123" s="69" t="str">
        <f>'4 Kriterien'!B114</f>
        <v>Sicherheit &amp; Datenschutz</v>
      </c>
      <c r="C123" s="40" t="str">
        <f>IF('4 Kriterien'!C114="","",'4 Kriterien'!C114)</f>
        <v>Rollen &amp; Rechte</v>
      </c>
      <c r="D123" s="82">
        <f>'4 Kriterien'!K114</f>
        <v>5</v>
      </c>
      <c r="E123" s="43" t="str">
        <f>IF('4 Kriterien'!J114="X","X","")</f>
        <v/>
      </c>
      <c r="F123" s="57"/>
      <c r="G123" s="82" t="str">
        <f>IF(OR(NOT(ISNUMBER(F123)),$D123=0),"",$D123*F123)</f>
        <v/>
      </c>
      <c r="H123" s="34"/>
      <c r="I123" s="57"/>
      <c r="J123" s="82" t="str">
        <f>IF(OR(NOT(ISNUMBER(I123)),$D123=0),"",$D123*I123)</f>
        <v/>
      </c>
      <c r="K123" s="34"/>
      <c r="L123" s="57"/>
      <c r="M123" s="82" t="str">
        <f>IF(OR(NOT(ISNUMBER(L123)),$D123=0),"",$D123*L123)</f>
        <v/>
      </c>
      <c r="N123" s="34"/>
      <c r="O123" s="57"/>
      <c r="P123" s="82" t="str">
        <f>IF(OR(NOT(ISNUMBER(O123)),$D123=0),"",$D123*O123)</f>
        <v/>
      </c>
      <c r="Q123" s="34"/>
    </row>
    <row r="124" spans="1:17" ht="16.5" customHeight="1" x14ac:dyDescent="0.2">
      <c r="A124" s="68" t="str">
        <f>'4 Kriterien'!A115</f>
        <v>S04</v>
      </c>
      <c r="B124" s="69" t="str">
        <f>'4 Kriterien'!B115</f>
        <v>Sicherheit &amp; Datenschutz</v>
      </c>
      <c r="C124" s="40" t="str">
        <f>IF('4 Kriterien'!C115="","",'4 Kriterien'!C115)</f>
        <v>Backup &amp; Wiederherstellung</v>
      </c>
      <c r="D124" s="82">
        <f>'4 Kriterien'!K115</f>
        <v>3</v>
      </c>
      <c r="E124" s="43" t="str">
        <f>IF('4 Kriterien'!J115="X","X","")</f>
        <v/>
      </c>
      <c r="F124" s="57"/>
      <c r="G124" s="82" t="str">
        <f>IF(OR(NOT(ISNUMBER(F124)),$D124=0),"",$D124*F124)</f>
        <v/>
      </c>
      <c r="H124" s="34"/>
      <c r="I124" s="57"/>
      <c r="J124" s="82" t="str">
        <f>IF(OR(NOT(ISNUMBER(I124)),$D124=0),"",$D124*I124)</f>
        <v/>
      </c>
      <c r="K124" s="34"/>
      <c r="L124" s="57"/>
      <c r="M124" s="82" t="str">
        <f>IF(OR(NOT(ISNUMBER(L124)),$D124=0),"",$D124*L124)</f>
        <v/>
      </c>
      <c r="N124" s="34"/>
      <c r="O124" s="57"/>
      <c r="P124" s="82" t="str">
        <f>IF(OR(NOT(ISNUMBER(O124)),$D124=0),"",$D124*O124)</f>
        <v/>
      </c>
      <c r="Q124" s="34"/>
    </row>
    <row r="125" spans="1:17" ht="16.5" customHeight="1" x14ac:dyDescent="0.2">
      <c r="A125" s="68" t="str">
        <f>'4 Kriterien'!A116</f>
        <v>S05</v>
      </c>
      <c r="B125" s="69" t="str">
        <f>'4 Kriterien'!B116</f>
        <v>Sicherheit &amp; Datenschutz</v>
      </c>
      <c r="C125" s="40" t="str">
        <f>IF('4 Kriterien'!C116="","",'4 Kriterien'!C116)</f>
        <v>Sicherheitsstandards</v>
      </c>
      <c r="D125" s="82">
        <f>'4 Kriterien'!K116</f>
        <v>3</v>
      </c>
      <c r="E125" s="43" t="str">
        <f>IF('4 Kriterien'!J116="X","X","")</f>
        <v/>
      </c>
      <c r="F125" s="57"/>
      <c r="G125" s="82" t="str">
        <f>IF(OR(NOT(ISNUMBER(F125)),$D125=0),"",$D125*F125)</f>
        <v/>
      </c>
      <c r="H125" s="34"/>
      <c r="I125" s="57"/>
      <c r="J125" s="82" t="str">
        <f>IF(OR(NOT(ISNUMBER(I125)),$D125=0),"",$D125*I125)</f>
        <v/>
      </c>
      <c r="K125" s="34"/>
      <c r="L125" s="57"/>
      <c r="M125" s="82" t="str">
        <f>IF(OR(NOT(ISNUMBER(L125)),$D125=0),"",$D125*L125)</f>
        <v/>
      </c>
      <c r="N125" s="34"/>
      <c r="O125" s="57"/>
      <c r="P125" s="82" t="str">
        <f>IF(OR(NOT(ISNUMBER(O125)),$D125=0),"",$D125*O125)</f>
        <v/>
      </c>
      <c r="Q125" s="34"/>
    </row>
    <row r="126" spans="1:17" ht="19.5" customHeight="1" x14ac:dyDescent="0.2">
      <c r="A126" s="66" t="s">
        <v>599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</row>
    <row r="127" spans="1:17" ht="16.5" customHeight="1" x14ac:dyDescent="0.2">
      <c r="A127" s="68" t="str">
        <f>'4 Kriterien'!A118</f>
        <v>G01</v>
      </c>
      <c r="B127" s="69" t="str">
        <f>'4 Kriterien'!B118</f>
        <v>Support &amp; Schulung</v>
      </c>
      <c r="C127" s="40" t="str">
        <f>IF('4 Kriterien'!C118="","",'4 Kriterien'!C118)</f>
        <v>Support zu Betriebszeiten</v>
      </c>
      <c r="D127" s="82">
        <f>'4 Kriterien'!K118</f>
        <v>5</v>
      </c>
      <c r="E127" s="43" t="str">
        <f>IF('4 Kriterien'!J118="X","X","")</f>
        <v/>
      </c>
      <c r="F127" s="57"/>
      <c r="G127" s="82" t="str">
        <f t="shared" ref="G127:G132" si="40">IF(OR(NOT(ISNUMBER(F127)),$D127=0),"",$D127*F127)</f>
        <v/>
      </c>
      <c r="H127" s="34"/>
      <c r="I127" s="57"/>
      <c r="J127" s="82" t="str">
        <f t="shared" ref="J127:J132" si="41">IF(OR(NOT(ISNUMBER(I127)),$D127=0),"",$D127*I127)</f>
        <v/>
      </c>
      <c r="K127" s="34"/>
      <c r="L127" s="57"/>
      <c r="M127" s="82" t="str">
        <f t="shared" ref="M127:M132" si="42">IF(OR(NOT(ISNUMBER(L127)),$D127=0),"",$D127*L127)</f>
        <v/>
      </c>
      <c r="N127" s="34"/>
      <c r="O127" s="57"/>
      <c r="P127" s="82" t="str">
        <f t="shared" ref="P127:P132" si="43">IF(OR(NOT(ISNUMBER(O127)),$D127=0),"",$D127*O127)</f>
        <v/>
      </c>
      <c r="Q127" s="34"/>
    </row>
    <row r="128" spans="1:17" ht="16.5" customHeight="1" x14ac:dyDescent="0.2">
      <c r="A128" s="68" t="str">
        <f>'4 Kriterien'!A119</f>
        <v>G02</v>
      </c>
      <c r="B128" s="69" t="str">
        <f>'4 Kriterien'!B119</f>
        <v>Support &amp; Schulung</v>
      </c>
      <c r="C128" s="40" t="str">
        <f>IF('4 Kriterien'!C119="","",'4 Kriterien'!C119)</f>
        <v>Reaktionszeit bei Ausfall</v>
      </c>
      <c r="D128" s="82">
        <f>'4 Kriterien'!K119</f>
        <v>5</v>
      </c>
      <c r="E128" s="43" t="str">
        <f>IF('4 Kriterien'!J119="X","X","")</f>
        <v/>
      </c>
      <c r="F128" s="57"/>
      <c r="G128" s="82" t="str">
        <f t="shared" si="40"/>
        <v/>
      </c>
      <c r="H128" s="34"/>
      <c r="I128" s="57"/>
      <c r="J128" s="82" t="str">
        <f t="shared" si="41"/>
        <v/>
      </c>
      <c r="K128" s="34"/>
      <c r="L128" s="57"/>
      <c r="M128" s="82" t="str">
        <f t="shared" si="42"/>
        <v/>
      </c>
      <c r="N128" s="34"/>
      <c r="O128" s="57"/>
      <c r="P128" s="82" t="str">
        <f t="shared" si="43"/>
        <v/>
      </c>
      <c r="Q128" s="34"/>
    </row>
    <row r="129" spans="1:17" ht="16.5" customHeight="1" x14ac:dyDescent="0.2">
      <c r="A129" s="68" t="str">
        <f>'4 Kriterien'!A120</f>
        <v>G03</v>
      </c>
      <c r="B129" s="69" t="str">
        <f>'4 Kriterien'!B120</f>
        <v>Support &amp; Schulung</v>
      </c>
      <c r="C129" s="40" t="str">
        <f>IF('4 Kriterien'!C120="","",'4 Kriterien'!C120)</f>
        <v>Support-Kanäle &amp; Sprache</v>
      </c>
      <c r="D129" s="82">
        <f>'4 Kriterien'!K120</f>
        <v>3</v>
      </c>
      <c r="E129" s="43" t="str">
        <f>IF('4 Kriterien'!J120="X","X","")</f>
        <v/>
      </c>
      <c r="F129" s="57"/>
      <c r="G129" s="82" t="str">
        <f t="shared" si="40"/>
        <v/>
      </c>
      <c r="H129" s="34"/>
      <c r="I129" s="57"/>
      <c r="J129" s="82" t="str">
        <f t="shared" si="41"/>
        <v/>
      </c>
      <c r="K129" s="34"/>
      <c r="L129" s="57"/>
      <c r="M129" s="82" t="str">
        <f t="shared" si="42"/>
        <v/>
      </c>
      <c r="N129" s="34"/>
      <c r="O129" s="57"/>
      <c r="P129" s="82" t="str">
        <f t="shared" si="43"/>
        <v/>
      </c>
      <c r="Q129" s="34"/>
    </row>
    <row r="130" spans="1:17" ht="16.5" customHeight="1" x14ac:dyDescent="0.2">
      <c r="A130" s="68" t="str">
        <f>'4 Kriterien'!A121</f>
        <v>G04</v>
      </c>
      <c r="B130" s="69" t="str">
        <f>'4 Kriterien'!B121</f>
        <v>Support &amp; Schulung</v>
      </c>
      <c r="C130" s="40" t="str">
        <f>IF('4 Kriterien'!C121="","",'4 Kriterien'!C121)</f>
        <v>Support vor Ort</v>
      </c>
      <c r="D130" s="82">
        <f>'4 Kriterien'!K121</f>
        <v>3</v>
      </c>
      <c r="E130" s="43" t="str">
        <f>IF('4 Kriterien'!J121="X","X","")</f>
        <v/>
      </c>
      <c r="F130" s="57"/>
      <c r="G130" s="82" t="str">
        <f t="shared" si="40"/>
        <v/>
      </c>
      <c r="H130" s="34"/>
      <c r="I130" s="57"/>
      <c r="J130" s="82" t="str">
        <f t="shared" si="41"/>
        <v/>
      </c>
      <c r="K130" s="34"/>
      <c r="L130" s="57"/>
      <c r="M130" s="82" t="str">
        <f t="shared" si="42"/>
        <v/>
      </c>
      <c r="N130" s="34"/>
      <c r="O130" s="57"/>
      <c r="P130" s="82" t="str">
        <f t="shared" si="43"/>
        <v/>
      </c>
      <c r="Q130" s="34"/>
    </row>
    <row r="131" spans="1:17" ht="16.5" customHeight="1" x14ac:dyDescent="0.2">
      <c r="A131" s="68" t="str">
        <f>'4 Kriterien'!A122</f>
        <v>G05</v>
      </c>
      <c r="B131" s="69" t="str">
        <f>'4 Kriterien'!B122</f>
        <v>Support &amp; Schulung</v>
      </c>
      <c r="C131" s="40" t="str">
        <f>IF('4 Kriterien'!C122="","",'4 Kriterien'!C122)</f>
        <v>Einführung &amp; Schulung</v>
      </c>
      <c r="D131" s="82">
        <f>'4 Kriterien'!K122</f>
        <v>5</v>
      </c>
      <c r="E131" s="43" t="str">
        <f>IF('4 Kriterien'!J122="X","X","")</f>
        <v/>
      </c>
      <c r="F131" s="57"/>
      <c r="G131" s="82" t="str">
        <f t="shared" si="40"/>
        <v/>
      </c>
      <c r="H131" s="34"/>
      <c r="I131" s="57"/>
      <c r="J131" s="82" t="str">
        <f t="shared" si="41"/>
        <v/>
      </c>
      <c r="K131" s="34"/>
      <c r="L131" s="57"/>
      <c r="M131" s="82" t="str">
        <f t="shared" si="42"/>
        <v/>
      </c>
      <c r="N131" s="34"/>
      <c r="O131" s="57"/>
      <c r="P131" s="82" t="str">
        <f t="shared" si="43"/>
        <v/>
      </c>
      <c r="Q131" s="34"/>
    </row>
    <row r="132" spans="1:17" ht="16.5" customHeight="1" x14ac:dyDescent="0.2">
      <c r="A132" s="68" t="str">
        <f>'4 Kriterien'!A123</f>
        <v>G06</v>
      </c>
      <c r="B132" s="69" t="str">
        <f>'4 Kriterien'!B123</f>
        <v>Support &amp; Schulung</v>
      </c>
      <c r="C132" s="40" t="str">
        <f>IF('4 Kriterien'!C123="","",'4 Kriterien'!C123)</f>
        <v>Schulungsmaterial</v>
      </c>
      <c r="D132" s="82">
        <f>'4 Kriterien'!K123</f>
        <v>3</v>
      </c>
      <c r="E132" s="43" t="str">
        <f>IF('4 Kriterien'!J123="X","X","")</f>
        <v/>
      </c>
      <c r="F132" s="57"/>
      <c r="G132" s="82" t="str">
        <f t="shared" si="40"/>
        <v/>
      </c>
      <c r="H132" s="34"/>
      <c r="I132" s="57"/>
      <c r="J132" s="82" t="str">
        <f t="shared" si="41"/>
        <v/>
      </c>
      <c r="K132" s="34"/>
      <c r="L132" s="57"/>
      <c r="M132" s="82" t="str">
        <f t="shared" si="42"/>
        <v/>
      </c>
      <c r="N132" s="34"/>
      <c r="O132" s="57"/>
      <c r="P132" s="82" t="str">
        <f t="shared" si="43"/>
        <v/>
      </c>
      <c r="Q132" s="34"/>
    </row>
    <row r="133" spans="1:17" ht="19.5" customHeight="1" x14ac:dyDescent="0.2">
      <c r="A133" s="66" t="s">
        <v>618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</row>
    <row r="134" spans="1:17" ht="16.5" customHeight="1" x14ac:dyDescent="0.2">
      <c r="A134" s="68" t="str">
        <f>'4 Kriterien'!A125</f>
        <v>V01</v>
      </c>
      <c r="B134" s="69" t="str">
        <f>'4 Kriterien'!B125</f>
        <v>Anbieter &amp; Referenzen</v>
      </c>
      <c r="C134" s="40" t="str">
        <f>IF('4 Kriterien'!C125="","",'4 Kriterien'!C125)</f>
        <v>Referenzen ähnlicher Betriebe</v>
      </c>
      <c r="D134" s="82">
        <f>'4 Kriterien'!K125</f>
        <v>5</v>
      </c>
      <c r="E134" s="43" t="str">
        <f>IF('4 Kriterien'!J125="X","X","")</f>
        <v/>
      </c>
      <c r="F134" s="57"/>
      <c r="G134" s="82" t="str">
        <f>IF(OR(NOT(ISNUMBER(F134)),$D134=0),"",$D134*F134)</f>
        <v/>
      </c>
      <c r="H134" s="34"/>
      <c r="I134" s="57"/>
      <c r="J134" s="82" t="str">
        <f>IF(OR(NOT(ISNUMBER(I134)),$D134=0),"",$D134*I134)</f>
        <v/>
      </c>
      <c r="K134" s="34"/>
      <c r="L134" s="57"/>
      <c r="M134" s="82" t="str">
        <f>IF(OR(NOT(ISNUMBER(L134)),$D134=0),"",$D134*L134)</f>
        <v/>
      </c>
      <c r="N134" s="34"/>
      <c r="O134" s="57"/>
      <c r="P134" s="82" t="str">
        <f>IF(OR(NOT(ISNUMBER(O134)),$D134=0),"",$D134*O134)</f>
        <v/>
      </c>
      <c r="Q134" s="34"/>
    </row>
    <row r="135" spans="1:17" ht="16.5" customHeight="1" x14ac:dyDescent="0.2">
      <c r="A135" s="68" t="str">
        <f>'4 Kriterien'!A126</f>
        <v>V02</v>
      </c>
      <c r="B135" s="69" t="str">
        <f>'4 Kriterien'!B126</f>
        <v>Anbieter &amp; Referenzen</v>
      </c>
      <c r="C135" s="40" t="str">
        <f>IF('4 Kriterien'!C126="","",'4 Kriterien'!C126)</f>
        <v>Präsenz in der Schweiz</v>
      </c>
      <c r="D135" s="82">
        <f>'4 Kriterien'!K126</f>
        <v>3</v>
      </c>
      <c r="E135" s="43" t="str">
        <f>IF('4 Kriterien'!J126="X","X","")</f>
        <v/>
      </c>
      <c r="F135" s="57"/>
      <c r="G135" s="82" t="str">
        <f>IF(OR(NOT(ISNUMBER(F135)),$D135=0),"",$D135*F135)</f>
        <v/>
      </c>
      <c r="H135" s="34"/>
      <c r="I135" s="57"/>
      <c r="J135" s="82" t="str">
        <f>IF(OR(NOT(ISNUMBER(I135)),$D135=0),"",$D135*I135)</f>
        <v/>
      </c>
      <c r="K135" s="34"/>
      <c r="L135" s="57"/>
      <c r="M135" s="82" t="str">
        <f>IF(OR(NOT(ISNUMBER(L135)),$D135=0),"",$D135*L135)</f>
        <v/>
      </c>
      <c r="N135" s="34"/>
      <c r="O135" s="57"/>
      <c r="P135" s="82" t="str">
        <f>IF(OR(NOT(ISNUMBER(O135)),$D135=0),"",$D135*O135)</f>
        <v/>
      </c>
      <c r="Q135" s="34"/>
    </row>
    <row r="136" spans="1:17" ht="16.5" customHeight="1" x14ac:dyDescent="0.2">
      <c r="A136" s="68" t="str">
        <f>'4 Kriterien'!A127</f>
        <v>V03</v>
      </c>
      <c r="B136" s="69" t="str">
        <f>'4 Kriterien'!B127</f>
        <v>Anbieter &amp; Referenzen</v>
      </c>
      <c r="C136" s="40" t="str">
        <f>IF('4 Kriterien'!C127="","",'4 Kriterien'!C127)</f>
        <v>Erfahrung im Gastgewerbe</v>
      </c>
      <c r="D136" s="82">
        <f>'4 Kriterien'!K127</f>
        <v>3</v>
      </c>
      <c r="E136" s="43" t="str">
        <f>IF('4 Kriterien'!J127="X","X","")</f>
        <v/>
      </c>
      <c r="F136" s="57"/>
      <c r="G136" s="82" t="str">
        <f>IF(OR(NOT(ISNUMBER(F136)),$D136=0),"",$D136*F136)</f>
        <v/>
      </c>
      <c r="H136" s="34"/>
      <c r="I136" s="57"/>
      <c r="J136" s="82" t="str">
        <f>IF(OR(NOT(ISNUMBER(I136)),$D136=0),"",$D136*I136)</f>
        <v/>
      </c>
      <c r="K136" s="34"/>
      <c r="L136" s="57"/>
      <c r="M136" s="82" t="str">
        <f>IF(OR(NOT(ISNUMBER(L136)),$D136=0),"",$D136*L136)</f>
        <v/>
      </c>
      <c r="N136" s="34"/>
      <c r="O136" s="57"/>
      <c r="P136" s="82" t="str">
        <f>IF(OR(NOT(ISNUMBER(O136)),$D136=0),"",$D136*O136)</f>
        <v/>
      </c>
      <c r="Q136" s="34"/>
    </row>
    <row r="137" spans="1:17" ht="16.5" customHeight="1" x14ac:dyDescent="0.2">
      <c r="A137" s="68" t="str">
        <f>'4 Kriterien'!A128</f>
        <v>V04</v>
      </c>
      <c r="B137" s="69" t="str">
        <f>'4 Kriterien'!B128</f>
        <v>Anbieter &amp; Referenzen</v>
      </c>
      <c r="C137" s="40" t="str">
        <f>IF('4 Kriterien'!C128="","",'4 Kriterien'!C128)</f>
        <v>Weiterentwicklung</v>
      </c>
      <c r="D137" s="82">
        <f>'4 Kriterien'!K128</f>
        <v>1</v>
      </c>
      <c r="E137" s="43" t="str">
        <f>IF('4 Kriterien'!J128="X","X","")</f>
        <v/>
      </c>
      <c r="F137" s="57"/>
      <c r="G137" s="82" t="str">
        <f>IF(OR(NOT(ISNUMBER(F137)),$D137=0),"",$D137*F137)</f>
        <v/>
      </c>
      <c r="H137" s="34"/>
      <c r="I137" s="57"/>
      <c r="J137" s="82" t="str">
        <f>IF(OR(NOT(ISNUMBER(I137)),$D137=0),"",$D137*I137)</f>
        <v/>
      </c>
      <c r="K137" s="34"/>
      <c r="L137" s="57"/>
      <c r="M137" s="82" t="str">
        <f>IF(OR(NOT(ISNUMBER(L137)),$D137=0),"",$D137*L137)</f>
        <v/>
      </c>
      <c r="N137" s="34"/>
      <c r="O137" s="57"/>
      <c r="P137" s="82" t="str">
        <f>IF(OR(NOT(ISNUMBER(O137)),$D137=0),"",$D137*O137)</f>
        <v/>
      </c>
      <c r="Q137" s="34"/>
    </row>
    <row r="138" spans="1:17" ht="16.5" customHeight="1" x14ac:dyDescent="0.2">
      <c r="A138" s="68" t="str">
        <f>'4 Kriterien'!A129</f>
        <v>V05</v>
      </c>
      <c r="B138" s="69" t="str">
        <f>'4 Kriterien'!B129</f>
        <v>Anbieter &amp; Referenzen</v>
      </c>
      <c r="C138" s="40" t="str">
        <f>IF('4 Kriterien'!C129="","",'4 Kriterien'!C129)</f>
        <v>Test im eigenen Betrieb</v>
      </c>
      <c r="D138" s="82">
        <f>'4 Kriterien'!K129</f>
        <v>3</v>
      </c>
      <c r="E138" s="43" t="str">
        <f>IF('4 Kriterien'!J129="X","X","")</f>
        <v/>
      </c>
      <c r="F138" s="57"/>
      <c r="G138" s="82" t="str">
        <f>IF(OR(NOT(ISNUMBER(F138)),$D138=0),"",$D138*F138)</f>
        <v/>
      </c>
      <c r="H138" s="34"/>
      <c r="I138" s="57"/>
      <c r="J138" s="82" t="str">
        <f>IF(OR(NOT(ISNUMBER(I138)),$D138=0),"",$D138*I138)</f>
        <v/>
      </c>
      <c r="K138" s="34"/>
      <c r="L138" s="57"/>
      <c r="M138" s="82" t="str">
        <f>IF(OR(NOT(ISNUMBER(L138)),$D138=0),"",$D138*L138)</f>
        <v/>
      </c>
      <c r="N138" s="34"/>
      <c r="O138" s="57"/>
      <c r="P138" s="82" t="str">
        <f>IF(OR(NOT(ISNUMBER(O138)),$D138=0),"",$D138*O138)</f>
        <v/>
      </c>
      <c r="Q138" s="34"/>
    </row>
    <row r="139" spans="1:17" ht="19.5" customHeight="1" x14ac:dyDescent="0.2">
      <c r="A139" s="66" t="s">
        <v>634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</row>
    <row r="140" spans="1:17" ht="16.5" customHeight="1" x14ac:dyDescent="0.2">
      <c r="A140" s="68" t="str">
        <f>'4 Kriterien'!A131</f>
        <v>Z01</v>
      </c>
      <c r="B140" s="69" t="str">
        <f>'4 Kriterien'!B131</f>
        <v>Eigene Kriterien</v>
      </c>
      <c r="C140" s="40" t="str">
        <f>IF('4 Kriterien'!C131="","",'4 Kriterien'!C131)</f>
        <v/>
      </c>
      <c r="D140" s="82">
        <f>'4 Kriterien'!K131</f>
        <v>0</v>
      </c>
      <c r="E140" s="43" t="str">
        <f>IF('4 Kriterien'!J131="X","X","")</f>
        <v/>
      </c>
      <c r="F140" s="57"/>
      <c r="G140" s="82" t="str">
        <f>IF(OR(NOT(ISNUMBER(F140)),$D140=0),"",$D140*F140)</f>
        <v/>
      </c>
      <c r="H140" s="34"/>
      <c r="I140" s="57"/>
      <c r="J140" s="82" t="str">
        <f>IF(OR(NOT(ISNUMBER(I140)),$D140=0),"",$D140*I140)</f>
        <v/>
      </c>
      <c r="K140" s="34"/>
      <c r="L140" s="57"/>
      <c r="M140" s="82" t="str">
        <f>IF(OR(NOT(ISNUMBER(L140)),$D140=0),"",$D140*L140)</f>
        <v/>
      </c>
      <c r="N140" s="34"/>
      <c r="O140" s="57"/>
      <c r="P140" s="82" t="str">
        <f>IF(OR(NOT(ISNUMBER(O140)),$D140=0),"",$D140*O140)</f>
        <v/>
      </c>
      <c r="Q140" s="34"/>
    </row>
    <row r="141" spans="1:17" ht="16.5" customHeight="1" x14ac:dyDescent="0.2">
      <c r="A141" s="68" t="str">
        <f>'4 Kriterien'!A132</f>
        <v>Z02</v>
      </c>
      <c r="B141" s="69" t="str">
        <f>'4 Kriterien'!B132</f>
        <v>Eigene Kriterien</v>
      </c>
      <c r="C141" s="40" t="str">
        <f>IF('4 Kriterien'!C132="","",'4 Kriterien'!C132)</f>
        <v/>
      </c>
      <c r="D141" s="82">
        <f>'4 Kriterien'!K132</f>
        <v>0</v>
      </c>
      <c r="E141" s="43" t="str">
        <f>IF('4 Kriterien'!J132="X","X","")</f>
        <v/>
      </c>
      <c r="F141" s="57"/>
      <c r="G141" s="82" t="str">
        <f>IF(OR(NOT(ISNUMBER(F141)),$D141=0),"",$D141*F141)</f>
        <v/>
      </c>
      <c r="H141" s="34"/>
      <c r="I141" s="57"/>
      <c r="J141" s="82" t="str">
        <f>IF(OR(NOT(ISNUMBER(I141)),$D141=0),"",$D141*I141)</f>
        <v/>
      </c>
      <c r="K141" s="34"/>
      <c r="L141" s="57"/>
      <c r="M141" s="82" t="str">
        <f>IF(OR(NOT(ISNUMBER(L141)),$D141=0),"",$D141*L141)</f>
        <v/>
      </c>
      <c r="N141" s="34"/>
      <c r="O141" s="57"/>
      <c r="P141" s="82" t="str">
        <f>IF(OR(NOT(ISNUMBER(O141)),$D141=0),"",$D141*O141)</f>
        <v/>
      </c>
      <c r="Q141" s="34"/>
    </row>
    <row r="142" spans="1:17" ht="16.5" customHeight="1" x14ac:dyDescent="0.2">
      <c r="A142" s="68" t="str">
        <f>'4 Kriterien'!A133</f>
        <v>Z03</v>
      </c>
      <c r="B142" s="69" t="str">
        <f>'4 Kriterien'!B133</f>
        <v>Eigene Kriterien</v>
      </c>
      <c r="C142" s="40" t="str">
        <f>IF('4 Kriterien'!C133="","",'4 Kriterien'!C133)</f>
        <v/>
      </c>
      <c r="D142" s="82">
        <f>'4 Kriterien'!K133</f>
        <v>0</v>
      </c>
      <c r="E142" s="43" t="str">
        <f>IF('4 Kriterien'!J133="X","X","")</f>
        <v/>
      </c>
      <c r="F142" s="57"/>
      <c r="G142" s="82" t="str">
        <f>IF(OR(NOT(ISNUMBER(F142)),$D142=0),"",$D142*F142)</f>
        <v/>
      </c>
      <c r="H142" s="34"/>
      <c r="I142" s="57"/>
      <c r="J142" s="82" t="str">
        <f>IF(OR(NOT(ISNUMBER(I142)),$D142=0),"",$D142*I142)</f>
        <v/>
      </c>
      <c r="K142" s="34"/>
      <c r="L142" s="57"/>
      <c r="M142" s="82" t="str">
        <f>IF(OR(NOT(ISNUMBER(L142)),$D142=0),"",$D142*L142)</f>
        <v/>
      </c>
      <c r="N142" s="34"/>
      <c r="O142" s="57"/>
      <c r="P142" s="82" t="str">
        <f>IF(OR(NOT(ISNUMBER(O142)),$D142=0),"",$D142*O142)</f>
        <v/>
      </c>
      <c r="Q142" s="34"/>
    </row>
    <row r="143" spans="1:17" ht="16.5" customHeight="1" x14ac:dyDescent="0.2">
      <c r="A143" s="68" t="str">
        <f>'4 Kriterien'!A134</f>
        <v>Z04</v>
      </c>
      <c r="B143" s="69" t="str">
        <f>'4 Kriterien'!B134</f>
        <v>Eigene Kriterien</v>
      </c>
      <c r="C143" s="40" t="str">
        <f>IF('4 Kriterien'!C134="","",'4 Kriterien'!C134)</f>
        <v/>
      </c>
      <c r="D143" s="82">
        <f>'4 Kriterien'!K134</f>
        <v>0</v>
      </c>
      <c r="E143" s="43" t="str">
        <f>IF('4 Kriterien'!J134="X","X","")</f>
        <v/>
      </c>
      <c r="F143" s="57"/>
      <c r="G143" s="82" t="str">
        <f>IF(OR(NOT(ISNUMBER(F143)),$D143=0),"",$D143*F143)</f>
        <v/>
      </c>
      <c r="H143" s="34"/>
      <c r="I143" s="57"/>
      <c r="J143" s="82" t="str">
        <f>IF(OR(NOT(ISNUMBER(I143)),$D143=0),"",$D143*I143)</f>
        <v/>
      </c>
      <c r="K143" s="34"/>
      <c r="L143" s="57"/>
      <c r="M143" s="82" t="str">
        <f>IF(OR(NOT(ISNUMBER(L143)),$D143=0),"",$D143*L143)</f>
        <v/>
      </c>
      <c r="N143" s="34"/>
      <c r="O143" s="57"/>
      <c r="P143" s="82" t="str">
        <f>IF(OR(NOT(ISNUMBER(O143)),$D143=0),"",$D143*O143)</f>
        <v/>
      </c>
      <c r="Q143" s="34"/>
    </row>
    <row r="144" spans="1:17" ht="16.5" customHeight="1" x14ac:dyDescent="0.2">
      <c r="A144" s="68" t="str">
        <f>'4 Kriterien'!A135</f>
        <v>Z05</v>
      </c>
      <c r="B144" s="69" t="str">
        <f>'4 Kriterien'!B135</f>
        <v>Eigene Kriterien</v>
      </c>
      <c r="C144" s="40" t="str">
        <f>IF('4 Kriterien'!C135="","",'4 Kriterien'!C135)</f>
        <v/>
      </c>
      <c r="D144" s="82">
        <f>'4 Kriterien'!K135</f>
        <v>0</v>
      </c>
      <c r="E144" s="43" t="str">
        <f>IF('4 Kriterien'!J135="X","X","")</f>
        <v/>
      </c>
      <c r="F144" s="57"/>
      <c r="G144" s="82" t="str">
        <f>IF(OR(NOT(ISNUMBER(F144)),$D144=0),"",$D144*F144)</f>
        <v/>
      </c>
      <c r="H144" s="34"/>
      <c r="I144" s="57"/>
      <c r="J144" s="82" t="str">
        <f>IF(OR(NOT(ISNUMBER(I144)),$D144=0),"",$D144*I144)</f>
        <v/>
      </c>
      <c r="K144" s="34"/>
      <c r="L144" s="57"/>
      <c r="M144" s="82" t="str">
        <f>IF(OR(NOT(ISNUMBER(L144)),$D144=0),"",$D144*L144)</f>
        <v/>
      </c>
      <c r="N144" s="34"/>
      <c r="O144" s="57"/>
      <c r="P144" s="82" t="str">
        <f>IF(OR(NOT(ISNUMBER(O144)),$D144=0),"",$D144*O144)</f>
        <v/>
      </c>
      <c r="Q144" s="34"/>
    </row>
  </sheetData>
  <mergeCells count="45">
    <mergeCell ref="A12:Q12"/>
    <mergeCell ref="A14:A15"/>
    <mergeCell ref="B14:B15"/>
    <mergeCell ref="C14:C15"/>
    <mergeCell ref="D14:D15"/>
    <mergeCell ref="E14:E15"/>
    <mergeCell ref="F14:H14"/>
    <mergeCell ref="I14:K14"/>
    <mergeCell ref="L14:N14"/>
    <mergeCell ref="O14:Q14"/>
    <mergeCell ref="A10:E10"/>
    <mergeCell ref="F10:H10"/>
    <mergeCell ref="I10:K10"/>
    <mergeCell ref="L10:N10"/>
    <mergeCell ref="O10:Q10"/>
    <mergeCell ref="A9:E9"/>
    <mergeCell ref="F9:H9"/>
    <mergeCell ref="I9:K9"/>
    <mergeCell ref="L9:N9"/>
    <mergeCell ref="O9:Q9"/>
    <mergeCell ref="A8:E8"/>
    <mergeCell ref="F8:H8"/>
    <mergeCell ref="I8:K8"/>
    <mergeCell ref="L8:N8"/>
    <mergeCell ref="O8:Q8"/>
    <mergeCell ref="A7:E7"/>
    <mergeCell ref="F7:H7"/>
    <mergeCell ref="I7:K7"/>
    <mergeCell ref="L7:N7"/>
    <mergeCell ref="O7:Q7"/>
    <mergeCell ref="A6:E6"/>
    <mergeCell ref="F6:H6"/>
    <mergeCell ref="I6:K6"/>
    <mergeCell ref="L6:N6"/>
    <mergeCell ref="O6:Q6"/>
    <mergeCell ref="A5:E5"/>
    <mergeCell ref="F5:H5"/>
    <mergeCell ref="I5:K5"/>
    <mergeCell ref="L5:N5"/>
    <mergeCell ref="O5:Q5"/>
    <mergeCell ref="A4:E4"/>
    <mergeCell ref="F4:H4"/>
    <mergeCell ref="I4:K4"/>
    <mergeCell ref="L4:N4"/>
    <mergeCell ref="O4:Q4"/>
  </mergeCells>
  <conditionalFormatting sqref="A16:E144 G16:H144 J16:K144 M16:N144 P16:Q144">
    <cfRule type="expression" dxfId="31" priority="2">
      <formula>AND(ISNUMBER($D16),$D16=0)</formula>
    </cfRule>
  </conditionalFormatting>
  <conditionalFormatting sqref="F16:F144">
    <cfRule type="expression" dxfId="30" priority="3">
      <formula>AND(ISNUMBER($D16),$D16=0)</formula>
    </cfRule>
    <cfRule type="expression" dxfId="29" priority="4">
      <formula>AND($E16="X",ISNUMBER(F16),F16=0)</formula>
    </cfRule>
    <cfRule type="expression" dxfId="28" priority="5">
      <formula>AND(ISNUMBER(F16),F16=0)</formula>
    </cfRule>
    <cfRule type="expression" dxfId="27" priority="6">
      <formula>AND(ISNUMBER(F16),F16=1)</formula>
    </cfRule>
    <cfRule type="expression" dxfId="26" priority="7">
      <formula>AND(ISNUMBER(F16),F16=2)</formula>
    </cfRule>
    <cfRule type="expression" dxfId="25" priority="8">
      <formula>AND(ISNUMBER(F16),F16=3)</formula>
    </cfRule>
  </conditionalFormatting>
  <conditionalFormatting sqref="I16:I144">
    <cfRule type="expression" dxfId="24" priority="14">
      <formula>AND(ISNUMBER(I16),I16=3)</formula>
    </cfRule>
    <cfRule type="expression" dxfId="23" priority="10">
      <formula>AND($E16="X",ISNUMBER(I16),I16=0)</formula>
    </cfRule>
    <cfRule type="expression" dxfId="22" priority="11">
      <formula>AND(ISNUMBER(I16),I16=0)</formula>
    </cfRule>
    <cfRule type="expression" dxfId="21" priority="12">
      <formula>AND(ISNUMBER(I16),I16=1)</formula>
    </cfRule>
    <cfRule type="expression" dxfId="20" priority="13">
      <formula>AND(ISNUMBER(I16),I16=2)</formula>
    </cfRule>
    <cfRule type="expression" dxfId="19" priority="9">
      <formula>AND(ISNUMBER($D16),$D16=0)</formula>
    </cfRule>
  </conditionalFormatting>
  <conditionalFormatting sqref="L16:L144">
    <cfRule type="expression" dxfId="18" priority="15">
      <formula>AND(ISNUMBER($D16),$D16=0)</formula>
    </cfRule>
    <cfRule type="expression" dxfId="17" priority="16">
      <formula>AND($E16="X",ISNUMBER(L16),L16=0)</formula>
    </cfRule>
    <cfRule type="expression" dxfId="16" priority="17">
      <formula>AND(ISNUMBER(L16),L16=0)</formula>
    </cfRule>
    <cfRule type="expression" dxfId="15" priority="18">
      <formula>AND(ISNUMBER(L16),L16=1)</formula>
    </cfRule>
    <cfRule type="expression" dxfId="14" priority="19">
      <formula>AND(ISNUMBER(L16),L16=2)</formula>
    </cfRule>
    <cfRule type="expression" dxfId="13" priority="20">
      <formula>AND(ISNUMBER(L16),L16=3)</formula>
    </cfRule>
  </conditionalFormatting>
  <conditionalFormatting sqref="O16:O144">
    <cfRule type="expression" dxfId="12" priority="21">
      <formula>AND(ISNUMBER($D16),$D16=0)</formula>
    </cfRule>
    <cfRule type="expression" dxfId="11" priority="22">
      <formula>AND($E16="X",ISNUMBER(O16),O16=0)</formula>
    </cfRule>
    <cfRule type="expression" dxfId="10" priority="23">
      <formula>AND(ISNUMBER(O16),O16=0)</formula>
    </cfRule>
    <cfRule type="expression" dxfId="9" priority="24">
      <formula>AND(ISNUMBER(O16),O16=1)</formula>
    </cfRule>
    <cfRule type="expression" dxfId="8" priority="25">
      <formula>AND(ISNUMBER(O16),O16=2)</formula>
    </cfRule>
    <cfRule type="expression" dxfId="7" priority="26">
      <formula>AND(ISNUMBER(O16),O16=3)</formula>
    </cfRule>
  </conditionalFormatting>
  <dataValidations count="2">
    <dataValidation type="date" operator="greaterThan" allowBlank="1" error="Bitte ein Datum eingeben (TT.MM.JJJJ)." sqref="F9 I9 L9 O9" xr:uid="{00000000-0002-0000-0600-000000000000}">
      <formula1>36526</formula1>
      <formula2>0</formula2>
    </dataValidation>
    <dataValidation type="decimal" allowBlank="1" error="Bitte eine Zahl zwischen 0 und 10000000 eingeben." sqref="F6:F7 I6:I7 L6:L7 O6:O7" xr:uid="{00000000-0002-0000-0600-000001000000}">
      <formula1>0</formula1>
      <formula2>10000000</formula2>
    </dataValidation>
  </dataValidations>
  <pageMargins left="0.4" right="0.4" top="0.5" bottom="0.5" header="0.511811023622047" footer="0.5"/>
  <pageSetup paperSize="9" fitToHeight="0" orientation="landscape" horizontalDpi="300" verticalDpi="300"/>
  <headerFooter>
    <oddFooter>&amp;L&amp;8 Dr. Koch · System-Check Software-Evaluation&amp;R&amp;8 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Ungültiger Wert" error="Bitte einen Wert aus der Liste wählen." xr:uid="{00000000-0002-0000-0600-000002000000}">
          <x14:formula1>
            <xm:f>Listen!$A$2:$A$3</xm:f>
          </x14:formula1>
          <x14:formula2>
            <xm:f>0</xm:f>
          </x14:formula2>
          <xm:sqref>F10 I10 L10 O10</xm:sqref>
        </x14:dataValidation>
        <x14:dataValidation type="list" allowBlank="1" showInputMessage="1" errorTitle="Ungültiger Wert" error="Bitte einen Wert aus der Liste wählen." prompt="3 = voll im Standard · 2 = teilweise · 1 = mit Anpassung/Mehrkosten · 0 = nicht erfüllt" xr:uid="{00000000-0002-0000-0600-000003000000}">
          <x14:formula1>
            <xm:f>Listen!$J$2:$J$5</xm:f>
          </x14:formula1>
          <x14:formula2>
            <xm:f>0</xm:f>
          </x14:formula2>
          <xm:sqref>F16:F144 I16:I144 L16:L144 O16:O144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3D36"/>
    <pageSetUpPr fitToPage="1"/>
  </sheetPr>
  <dimension ref="B1:O35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30" customWidth="1"/>
    <col min="3" max="4" width="13" customWidth="1"/>
    <col min="5" max="5" width="15" customWidth="1"/>
    <col min="6" max="7" width="13" customWidth="1"/>
    <col min="8" max="8" width="21" customWidth="1"/>
    <col min="9" max="10" width="13" customWidth="1"/>
    <col min="11" max="11" width="14" customWidth="1"/>
    <col min="12" max="12" width="13" customWidth="1"/>
    <col min="13" max="13" width="12" customWidth="1"/>
    <col min="14" max="14" width="9" customWidth="1"/>
    <col min="15" max="15" width="6" hidden="1" customWidth="1"/>
  </cols>
  <sheetData>
    <row r="1" spans="2:15" ht="30" customHeight="1" x14ac:dyDescent="0.25">
      <c r="B1" s="31" t="s">
        <v>663</v>
      </c>
    </row>
    <row r="2" spans="2:15" x14ac:dyDescent="0.2">
      <c r="B2" s="17" t="s">
        <v>664</v>
      </c>
    </row>
    <row r="4" spans="2:15" ht="21.75" customHeight="1" x14ac:dyDescent="0.2">
      <c r="B4" s="14" t="s">
        <v>665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2:15" ht="30" customHeight="1" x14ac:dyDescent="0.2">
      <c r="B5" s="83" t="s">
        <v>666</v>
      </c>
      <c r="C5" s="100" t="s">
        <v>667</v>
      </c>
      <c r="D5" s="100"/>
      <c r="E5" s="100" t="s">
        <v>668</v>
      </c>
      <c r="F5" s="100"/>
      <c r="G5" s="101" t="s">
        <v>669</v>
      </c>
      <c r="H5" s="101"/>
      <c r="I5" s="100" t="s">
        <v>670</v>
      </c>
      <c r="J5" s="100"/>
      <c r="K5" s="100" t="s">
        <v>194</v>
      </c>
      <c r="L5" s="100"/>
      <c r="M5" s="100" t="s">
        <v>196</v>
      </c>
      <c r="N5" s="100"/>
    </row>
    <row r="6" spans="2:15" ht="31.5" customHeight="1" x14ac:dyDescent="0.2">
      <c r="B6" s="84">
        <f>'2 Systemlandschaft'!D9</f>
        <v>0</v>
      </c>
      <c r="C6" s="102">
        <f>'3 Datenflüsse'!D7</f>
        <v>0</v>
      </c>
      <c r="D6" s="102"/>
      <c r="E6" s="102">
        <f>'3 Datenflüsse'!D8</f>
        <v>0</v>
      </c>
      <c r="F6" s="102"/>
      <c r="G6" s="103">
        <f>B6+E6</f>
        <v>0</v>
      </c>
      <c r="H6" s="103"/>
      <c r="I6" s="104" t="str">
        <f>IF(N(Umsatz)&gt;0,B6/Umsatz,"ohne Umsatz")</f>
        <v>ohne Umsatz</v>
      </c>
      <c r="J6" s="104"/>
      <c r="K6" s="105">
        <f ca="1">'2 Systemlandschaft'!D10</f>
        <v>0</v>
      </c>
      <c r="L6" s="105"/>
      <c r="M6" s="106" t="str">
        <f ca="1">'2 Systemlandschaft'!D11</f>
        <v>keiner erfasst</v>
      </c>
      <c r="N6" s="106"/>
    </row>
    <row r="7" spans="2:15" ht="30" customHeight="1" x14ac:dyDescent="0.2">
      <c r="B7" s="107" t="str">
        <f>IF(G6=0,"Fülle die Blätter 2 und 3 aus. Dann steht hier, was deine heutige Systemlandschaft pro Jahr kostet.","Systeme und Doppelerfassung kosten deinen Betrieb heute rund CHF "&amp;FIXED(G6,0)&amp;" pro Jahr. Davon sind CHF "&amp;FIXED(E6,0)&amp;" Arbeitszeit für manuelle Übertragungen.")</f>
        <v>Fülle die Blätter 2 und 3 aus. Dann steht hier, was deine heutige Systemlandschaft pro Jahr kostet.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</row>
    <row r="9" spans="2:15" ht="21.75" customHeight="1" x14ac:dyDescent="0.2">
      <c r="B9" s="14" t="s">
        <v>671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2:15" ht="33.75" customHeight="1" x14ac:dyDescent="0.2">
      <c r="B10" s="18" t="s">
        <v>652</v>
      </c>
      <c r="C10" s="18" t="s">
        <v>662</v>
      </c>
      <c r="D10" s="18" t="s">
        <v>672</v>
      </c>
      <c r="E10" s="18" t="s">
        <v>34</v>
      </c>
      <c r="F10" s="18" t="s">
        <v>673</v>
      </c>
      <c r="G10" s="18" t="s">
        <v>674</v>
      </c>
      <c r="H10" s="18" t="s">
        <v>675</v>
      </c>
      <c r="I10" s="18" t="s">
        <v>676</v>
      </c>
      <c r="J10" s="18" t="s">
        <v>200</v>
      </c>
      <c r="K10" s="18" t="s">
        <v>677</v>
      </c>
      <c r="L10" s="18" t="s">
        <v>678</v>
      </c>
      <c r="M10" s="18" t="s">
        <v>679</v>
      </c>
      <c r="N10" s="18" t="s">
        <v>680</v>
      </c>
      <c r="O10" s="18" t="s">
        <v>681</v>
      </c>
    </row>
    <row r="11" spans="2:15" ht="21.75" customHeight="1" x14ac:dyDescent="0.2">
      <c r="B11" s="85" t="str">
        <f>IF('6 Anbietervergleich'!F4="","Anbieter 1",'6 Anbietervergleich'!F4)</f>
        <v>Anbieter 1</v>
      </c>
      <c r="C11" s="86">
        <f>SUM('6 Anbietervergleich'!G$16:G$144)</f>
        <v>0</v>
      </c>
      <c r="D11" s="86">
        <f>SUMIF('6 Anbietervergleich'!$D$16:$D$144,"&gt;0")*3</f>
        <v>1122</v>
      </c>
      <c r="E11" s="87">
        <f>IF(D11&gt;0,C11/D11,0)</f>
        <v>0</v>
      </c>
      <c r="F11" s="88">
        <f>COUNTIFS('6 Anbietervergleich'!$E$16:$E$144,"X",'6 Anbietervergleich'!$D$16:$D$144,"&gt;0",'6 Anbietervergleich'!F$16:F$144,0)</f>
        <v>0</v>
      </c>
      <c r="G11" s="89">
        <f>IF(COUNTIF('6 Anbietervergleich'!$D$16:$D$144,"&gt;0")=0,0,COUNTIFS('6 Anbietervergleich'!$D$16:$D$144,"&gt;0",'6 Anbietervergleich'!F$16:F$144,"&lt;&gt;")/COUNTIF('6 Anbietervergleich'!$D$16:$D$144,"&gt;0"))</f>
        <v>0</v>
      </c>
      <c r="H11" s="90" t="str">
        <f>IF(AND('6 Anbietervergleich'!F4="",COUNT('6 Anbietervergleich'!F$16:F$144)=0),"",IF(F11&gt;0,"Ausgeschlossen (KO)",IF(G11&lt;1,"Bewertung offen","Im Rennen")))</f>
        <v/>
      </c>
      <c r="I11" s="86" t="str">
        <f>IF('6 Anbietervergleich'!F6="","",'6 Anbietervergleich'!F6)</f>
        <v/>
      </c>
      <c r="J11" s="86" t="str">
        <f>IF('6 Anbietervergleich'!F7="","",'6 Anbietervergleich'!F7)</f>
        <v/>
      </c>
      <c r="K11" s="86" t="str">
        <f>IF(AND(I11="",J11=""),"",N(I11)+36*N(J11))</f>
        <v/>
      </c>
      <c r="L11" s="91" t="str">
        <f>IF(OR(K11="",K11=0),"",C11/(K11/1000))</f>
        <v/>
      </c>
      <c r="M11" s="25" t="str">
        <f>IF(K11="","",IF(AND(OR(Budget_einmalig="",N(I11)&lt;=Budget_einmalig),OR(Budget_monat="",N(J11)&lt;=Budget_monat)),"Ja","Nein"))</f>
        <v/>
      </c>
      <c r="N11" s="92" t="str">
        <f>IF(O11&lt;0,"",COUNTIF($O$11:$O$14,"&gt;"&amp;O11)+1)</f>
        <v/>
      </c>
      <c r="O11" s="93">
        <f>IF(OR(H11="",H11="Ausgeschlossen (KO)"),-1,E11)</f>
        <v>-1</v>
      </c>
    </row>
    <row r="12" spans="2:15" ht="21.75" customHeight="1" x14ac:dyDescent="0.2">
      <c r="B12" s="85" t="str">
        <f>IF('6 Anbietervergleich'!I4="","Anbieter 2",'6 Anbietervergleich'!I4)</f>
        <v>Anbieter 2</v>
      </c>
      <c r="C12" s="86">
        <f>SUM('6 Anbietervergleich'!J$16:J$144)</f>
        <v>0</v>
      </c>
      <c r="D12" s="86">
        <f>SUMIF('6 Anbietervergleich'!$D$16:$D$144,"&gt;0")*3</f>
        <v>1122</v>
      </c>
      <c r="E12" s="87">
        <f>IF(D12&gt;0,C12/D12,0)</f>
        <v>0</v>
      </c>
      <c r="F12" s="88">
        <f>COUNTIFS('6 Anbietervergleich'!$E$16:$E$144,"X",'6 Anbietervergleich'!$D$16:$D$144,"&gt;0",'6 Anbietervergleich'!I$16:I$144,0)</f>
        <v>0</v>
      </c>
      <c r="G12" s="89">
        <f>IF(COUNTIF('6 Anbietervergleich'!$D$16:$D$144,"&gt;0")=0,0,COUNTIFS('6 Anbietervergleich'!$D$16:$D$144,"&gt;0",'6 Anbietervergleich'!I$16:I$144,"&lt;&gt;")/COUNTIF('6 Anbietervergleich'!$D$16:$D$144,"&gt;0"))</f>
        <v>0</v>
      </c>
      <c r="H12" s="90" t="str">
        <f>IF(AND('6 Anbietervergleich'!I4="",COUNT('6 Anbietervergleich'!I$16:I$144)=0),"",IF(F12&gt;0,"Ausgeschlossen (KO)",IF(G12&lt;1,"Bewertung offen","Im Rennen")))</f>
        <v/>
      </c>
      <c r="I12" s="86" t="str">
        <f>IF('6 Anbietervergleich'!I6="","",'6 Anbietervergleich'!I6)</f>
        <v/>
      </c>
      <c r="J12" s="86" t="str">
        <f>IF('6 Anbietervergleich'!I7="","",'6 Anbietervergleich'!I7)</f>
        <v/>
      </c>
      <c r="K12" s="86" t="str">
        <f>IF(AND(I12="",J12=""),"",N(I12)+36*N(J12))</f>
        <v/>
      </c>
      <c r="L12" s="91" t="str">
        <f>IF(OR(K12="",K12=0),"",C12/(K12/1000))</f>
        <v/>
      </c>
      <c r="M12" s="25" t="str">
        <f>IF(K12="","",IF(AND(OR(Budget_einmalig="",N(I12)&lt;=Budget_einmalig),OR(Budget_monat="",N(J12)&lt;=Budget_monat)),"Ja","Nein"))</f>
        <v/>
      </c>
      <c r="N12" s="92" t="str">
        <f>IF(O12&lt;0,"",COUNTIF($O$11:$O$14,"&gt;"&amp;O12)+1)</f>
        <v/>
      </c>
      <c r="O12" s="93">
        <f>IF(OR(H12="",H12="Ausgeschlossen (KO)"),-1,E12)</f>
        <v>-1</v>
      </c>
    </row>
    <row r="13" spans="2:15" ht="21.75" customHeight="1" x14ac:dyDescent="0.2">
      <c r="B13" s="85" t="str">
        <f>IF('6 Anbietervergleich'!L4="","Anbieter 3",'6 Anbietervergleich'!L4)</f>
        <v>Anbieter 3</v>
      </c>
      <c r="C13" s="86">
        <f>SUM('6 Anbietervergleich'!M$16:M$144)</f>
        <v>0</v>
      </c>
      <c r="D13" s="86">
        <f>SUMIF('6 Anbietervergleich'!$D$16:$D$144,"&gt;0")*3</f>
        <v>1122</v>
      </c>
      <c r="E13" s="87">
        <f>IF(D13&gt;0,C13/D13,0)</f>
        <v>0</v>
      </c>
      <c r="F13" s="88">
        <f>COUNTIFS('6 Anbietervergleich'!$E$16:$E$144,"X",'6 Anbietervergleich'!$D$16:$D$144,"&gt;0",'6 Anbietervergleich'!L$16:L$144,0)</f>
        <v>0</v>
      </c>
      <c r="G13" s="89">
        <f>IF(COUNTIF('6 Anbietervergleich'!$D$16:$D$144,"&gt;0")=0,0,COUNTIFS('6 Anbietervergleich'!$D$16:$D$144,"&gt;0",'6 Anbietervergleich'!L$16:L$144,"&lt;&gt;")/COUNTIF('6 Anbietervergleich'!$D$16:$D$144,"&gt;0"))</f>
        <v>0</v>
      </c>
      <c r="H13" s="90" t="str">
        <f>IF(AND('6 Anbietervergleich'!L4="",COUNT('6 Anbietervergleich'!L$16:L$144)=0),"",IF(F13&gt;0,"Ausgeschlossen (KO)",IF(G13&lt;1,"Bewertung offen","Im Rennen")))</f>
        <v/>
      </c>
      <c r="I13" s="86" t="str">
        <f>IF('6 Anbietervergleich'!L6="","",'6 Anbietervergleich'!L6)</f>
        <v/>
      </c>
      <c r="J13" s="86" t="str">
        <f>IF('6 Anbietervergleich'!L7="","",'6 Anbietervergleich'!L7)</f>
        <v/>
      </c>
      <c r="K13" s="86" t="str">
        <f>IF(AND(I13="",J13=""),"",N(I13)+36*N(J13))</f>
        <v/>
      </c>
      <c r="L13" s="91" t="str">
        <f>IF(OR(K13="",K13=0),"",C13/(K13/1000))</f>
        <v/>
      </c>
      <c r="M13" s="25" t="str">
        <f>IF(K13="","",IF(AND(OR(Budget_einmalig="",N(I13)&lt;=Budget_einmalig),OR(Budget_monat="",N(J13)&lt;=Budget_monat)),"Ja","Nein"))</f>
        <v/>
      </c>
      <c r="N13" s="92" t="str">
        <f>IF(O13&lt;0,"",COUNTIF($O$11:$O$14,"&gt;"&amp;O13)+1)</f>
        <v/>
      </c>
      <c r="O13" s="93">
        <f>IF(OR(H13="",H13="Ausgeschlossen (KO)"),-1,E13)</f>
        <v>-1</v>
      </c>
    </row>
    <row r="14" spans="2:15" ht="21.75" customHeight="1" x14ac:dyDescent="0.2">
      <c r="B14" s="85" t="str">
        <f>IF('6 Anbietervergleich'!O4="","Anbieter 4",'6 Anbietervergleich'!O4)</f>
        <v>Anbieter 4</v>
      </c>
      <c r="C14" s="86">
        <f>SUM('6 Anbietervergleich'!P$16:P$144)</f>
        <v>0</v>
      </c>
      <c r="D14" s="86">
        <f>SUMIF('6 Anbietervergleich'!$D$16:$D$144,"&gt;0")*3</f>
        <v>1122</v>
      </c>
      <c r="E14" s="87">
        <f>IF(D14&gt;0,C14/D14,0)</f>
        <v>0</v>
      </c>
      <c r="F14" s="88">
        <f>COUNTIFS('6 Anbietervergleich'!$E$16:$E$144,"X",'6 Anbietervergleich'!$D$16:$D$144,"&gt;0",'6 Anbietervergleich'!O$16:O$144,0)</f>
        <v>0</v>
      </c>
      <c r="G14" s="89">
        <f>IF(COUNTIF('6 Anbietervergleich'!$D$16:$D$144,"&gt;0")=0,0,COUNTIFS('6 Anbietervergleich'!$D$16:$D$144,"&gt;0",'6 Anbietervergleich'!O$16:O$144,"&lt;&gt;")/COUNTIF('6 Anbietervergleich'!$D$16:$D$144,"&gt;0"))</f>
        <v>0</v>
      </c>
      <c r="H14" s="90" t="str">
        <f>IF(AND('6 Anbietervergleich'!O4="",COUNT('6 Anbietervergleich'!O$16:O$144)=0),"",IF(F14&gt;0,"Ausgeschlossen (KO)",IF(G14&lt;1,"Bewertung offen","Im Rennen")))</f>
        <v/>
      </c>
      <c r="I14" s="86" t="str">
        <f>IF('6 Anbietervergleich'!O6="","",'6 Anbietervergleich'!O6)</f>
        <v/>
      </c>
      <c r="J14" s="86" t="str">
        <f>IF('6 Anbietervergleich'!O7="","",'6 Anbietervergleich'!O7)</f>
        <v/>
      </c>
      <c r="K14" s="86" t="str">
        <f>IF(AND(I14="",J14=""),"",N(I14)+36*N(J14))</f>
        <v/>
      </c>
      <c r="L14" s="91" t="str">
        <f>IF(OR(K14="",K14=0),"",C14/(K14/1000))</f>
        <v/>
      </c>
      <c r="M14" s="25" t="str">
        <f>IF(K14="","",IF(AND(OR(Budget_einmalig="",N(I14)&lt;=Budget_einmalig),OR(Budget_monat="",N(J14)&lt;=Budget_monat)),"Ja","Nein"))</f>
        <v/>
      </c>
      <c r="N14" s="92" t="str">
        <f>IF(O14&lt;0,"",COUNTIF($O$11:$O$14,"&gt;"&amp;O14)+1)</f>
        <v/>
      </c>
      <c r="O14" s="93">
        <f>IF(OR(H14="",H14="Ausgeschlossen (KO)"),-1,E14)</f>
        <v>-1</v>
      </c>
    </row>
    <row r="15" spans="2:15" ht="19.5" customHeight="1" x14ac:dyDescent="0.2">
      <c r="B15" s="11" t="s">
        <v>682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5" ht="19.5" customHeight="1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8" spans="2:7" ht="21.75" customHeight="1" x14ac:dyDescent="0.2">
      <c r="B18" s="14" t="s">
        <v>683</v>
      </c>
      <c r="C18" s="14"/>
      <c r="D18" s="14"/>
      <c r="E18" s="14"/>
      <c r="F18" s="14"/>
      <c r="G18" s="14"/>
    </row>
    <row r="19" spans="2:7" ht="30" customHeight="1" x14ac:dyDescent="0.2">
      <c r="B19" s="18" t="s">
        <v>298</v>
      </c>
      <c r="C19" s="18" t="s">
        <v>684</v>
      </c>
      <c r="D19" s="18" t="str">
        <f>B11</f>
        <v>Anbieter 1</v>
      </c>
      <c r="E19" s="18" t="str">
        <f>B12</f>
        <v>Anbieter 2</v>
      </c>
      <c r="F19" s="18" t="str">
        <f>B13</f>
        <v>Anbieter 3</v>
      </c>
      <c r="G19" s="18" t="str">
        <f>B14</f>
        <v>Anbieter 4</v>
      </c>
    </row>
    <row r="20" spans="2:7" ht="18" customHeight="1" x14ac:dyDescent="0.2">
      <c r="B20" s="94" t="s">
        <v>309</v>
      </c>
      <c r="C20" s="88">
        <f>SUMIF('6 Anbietervergleich'!$B$16:$B$144,B20,'6 Anbietervergleich'!$D$16:$D$144)</f>
        <v>38</v>
      </c>
      <c r="D20" s="89" t="str">
        <f>IF($H$11="","",IF($C20=0,"–",SUMIF('6 Anbietervergleich'!$B$16:$B$144,$B20,'6 Anbietervergleich'!$G$16:$G$144)/($C20*3)))</f>
        <v/>
      </c>
      <c r="E20" s="89" t="str">
        <f>IF($H$12="","",IF($C20=0,"–",SUMIF('6 Anbietervergleich'!$B$16:$B$144,$B20,'6 Anbietervergleich'!$J$16:$J$144)/($C20*3)))</f>
        <v/>
      </c>
      <c r="F20" s="89" t="str">
        <f>IF($H$13="","",IF($C20=0,"–",SUMIF('6 Anbietervergleich'!$B$16:$B$144,$B20,'6 Anbietervergleich'!$M$16:$M$144)/($C20*3)))</f>
        <v/>
      </c>
      <c r="G20" s="89" t="str">
        <f>IF($H$14="","",IF($C20=0,"–",SUMIF('6 Anbietervergleich'!$B$16:$B$144,$B20,'6 Anbietervergleich'!$P$16:$P$144)/($C20*3)))</f>
        <v/>
      </c>
    </row>
    <row r="21" spans="2:7" ht="18" customHeight="1" x14ac:dyDescent="0.2">
      <c r="B21" s="94" t="s">
        <v>339</v>
      </c>
      <c r="C21" s="88">
        <f>SUMIF('6 Anbietervergleich'!$B$16:$B$144,B21,'6 Anbietervergleich'!$D$16:$D$144)</f>
        <v>37</v>
      </c>
      <c r="D21" s="89" t="str">
        <f>IF($H$11="","",IF($C21=0,"–",SUMIF('6 Anbietervergleich'!$B$16:$B$144,$B21,'6 Anbietervergleich'!$G$16:$G$144)/($C21*3)))</f>
        <v/>
      </c>
      <c r="E21" s="89" t="str">
        <f>IF($H$12="","",IF($C21=0,"–",SUMIF('6 Anbietervergleich'!$B$16:$B$144,$B21,'6 Anbietervergleich'!$J$16:$J$144)/($C21*3)))</f>
        <v/>
      </c>
      <c r="F21" s="89" t="str">
        <f>IF($H$13="","",IF($C21=0,"–",SUMIF('6 Anbietervergleich'!$B$16:$B$144,$B21,'6 Anbietervergleich'!$M$16:$M$144)/($C21*3)))</f>
        <v/>
      </c>
      <c r="G21" s="89" t="str">
        <f>IF($H$14="","",IF($C21=0,"–",SUMIF('6 Anbietervergleich'!$B$16:$B$144,$B21,'6 Anbietervergleich'!$P$16:$P$144)/($C21*3)))</f>
        <v/>
      </c>
    </row>
    <row r="22" spans="2:7" ht="18" customHeight="1" x14ac:dyDescent="0.2">
      <c r="B22" s="94" t="s">
        <v>367</v>
      </c>
      <c r="C22" s="88">
        <f>SUMIF('6 Anbietervergleich'!$B$16:$B$144,B22,'6 Anbietervergleich'!$D$16:$D$144)</f>
        <v>22</v>
      </c>
      <c r="D22" s="89" t="str">
        <f>IF($H$11="","",IF($C22=0,"–",SUMIF('6 Anbietervergleich'!$B$16:$B$144,$B22,'6 Anbietervergleich'!$G$16:$G$144)/($C22*3)))</f>
        <v/>
      </c>
      <c r="E22" s="89" t="str">
        <f>IF($H$12="","",IF($C22=0,"–",SUMIF('6 Anbietervergleich'!$B$16:$B$144,$B22,'6 Anbietervergleich'!$J$16:$J$144)/($C22*3)))</f>
        <v/>
      </c>
      <c r="F22" s="89" t="str">
        <f>IF($H$13="","",IF($C22=0,"–",SUMIF('6 Anbietervergleich'!$B$16:$B$144,$B22,'6 Anbietervergleich'!$M$16:$M$144)/($C22*3)))</f>
        <v/>
      </c>
      <c r="G22" s="89" t="str">
        <f>IF($H$14="","",IF($C22=0,"–",SUMIF('6 Anbietervergleich'!$B$16:$B$144,$B22,'6 Anbietervergleich'!$P$16:$P$144)/($C22*3)))</f>
        <v/>
      </c>
    </row>
    <row r="23" spans="2:7" ht="18" customHeight="1" x14ac:dyDescent="0.2">
      <c r="B23" s="94" t="s">
        <v>130</v>
      </c>
      <c r="C23" s="88">
        <f>SUMIF('6 Anbietervergleich'!$B$16:$B$144,B23,'6 Anbietervergleich'!$D$16:$D$144)</f>
        <v>43</v>
      </c>
      <c r="D23" s="89" t="str">
        <f>IF($H$11="","",IF($C23=0,"–",SUMIF('6 Anbietervergleich'!$B$16:$B$144,$B23,'6 Anbietervergleich'!$G$16:$G$144)/($C23*3)))</f>
        <v/>
      </c>
      <c r="E23" s="89" t="str">
        <f>IF($H$12="","",IF($C23=0,"–",SUMIF('6 Anbietervergleich'!$B$16:$B$144,$B23,'6 Anbietervergleich'!$J$16:$J$144)/($C23*3)))</f>
        <v/>
      </c>
      <c r="F23" s="89" t="str">
        <f>IF($H$13="","",IF($C23=0,"–",SUMIF('6 Anbietervergleich'!$B$16:$B$144,$B23,'6 Anbietervergleich'!$M$16:$M$144)/($C23*3)))</f>
        <v/>
      </c>
      <c r="G23" s="89" t="str">
        <f>IF($H$14="","",IF($C23=0,"–",SUMIF('6 Anbietervergleich'!$B$16:$B$144,$B23,'6 Anbietervergleich'!$P$16:$P$144)/($C23*3)))</f>
        <v/>
      </c>
    </row>
    <row r="24" spans="2:7" ht="18" customHeight="1" x14ac:dyDescent="0.2">
      <c r="B24" s="94" t="s">
        <v>133</v>
      </c>
      <c r="C24" s="88">
        <f>SUMIF('6 Anbietervergleich'!$B$16:$B$144,B24,'6 Anbietervergleich'!$D$16:$D$144)</f>
        <v>28</v>
      </c>
      <c r="D24" s="89" t="str">
        <f>IF($H$11="","",IF($C24=0,"–",SUMIF('6 Anbietervergleich'!$B$16:$B$144,$B24,'6 Anbietervergleich'!$G$16:$G$144)/($C24*3)))</f>
        <v/>
      </c>
      <c r="E24" s="89" t="str">
        <f>IF($H$12="","",IF($C24=0,"–",SUMIF('6 Anbietervergleich'!$B$16:$B$144,$B24,'6 Anbietervergleich'!$J$16:$J$144)/($C24*3)))</f>
        <v/>
      </c>
      <c r="F24" s="89" t="str">
        <f>IF($H$13="","",IF($C24=0,"–",SUMIF('6 Anbietervergleich'!$B$16:$B$144,$B24,'6 Anbietervergleich'!$M$16:$M$144)/($C24*3)))</f>
        <v/>
      </c>
      <c r="G24" s="89" t="str">
        <f>IF($H$14="","",IF($C24=0,"–",SUMIF('6 Anbietervergleich'!$B$16:$B$144,$B24,'6 Anbietervergleich'!$P$16:$P$144)/($C24*3)))</f>
        <v/>
      </c>
    </row>
    <row r="25" spans="2:7" ht="18" customHeight="1" x14ac:dyDescent="0.2">
      <c r="B25" s="94" t="s">
        <v>136</v>
      </c>
      <c r="C25" s="88">
        <f>SUMIF('6 Anbietervergleich'!$B$16:$B$144,B25,'6 Anbietervergleich'!$D$16:$D$144)</f>
        <v>29</v>
      </c>
      <c r="D25" s="89" t="str">
        <f>IF($H$11="","",IF($C25=0,"–",SUMIF('6 Anbietervergleich'!$B$16:$B$144,$B25,'6 Anbietervergleich'!$G$16:$G$144)/($C25*3)))</f>
        <v/>
      </c>
      <c r="E25" s="89" t="str">
        <f>IF($H$12="","",IF($C25=0,"–",SUMIF('6 Anbietervergleich'!$B$16:$B$144,$B25,'6 Anbietervergleich'!$J$16:$J$144)/($C25*3)))</f>
        <v/>
      </c>
      <c r="F25" s="89" t="str">
        <f>IF($H$13="","",IF($C25=0,"–",SUMIF('6 Anbietervergleich'!$B$16:$B$144,$B25,'6 Anbietervergleich'!$M$16:$M$144)/($C25*3)))</f>
        <v/>
      </c>
      <c r="G25" s="89" t="str">
        <f>IF($H$14="","",IF($C25=0,"–",SUMIF('6 Anbietervergleich'!$B$16:$B$144,$B25,'6 Anbietervergleich'!$P$16:$P$144)/($C25*3)))</f>
        <v/>
      </c>
    </row>
    <row r="26" spans="2:7" ht="18" customHeight="1" x14ac:dyDescent="0.2">
      <c r="B26" s="94" t="s">
        <v>139</v>
      </c>
      <c r="C26" s="88">
        <f>SUMIF('6 Anbietervergleich'!$B$16:$B$144,B26,'6 Anbietervergleich'!$D$16:$D$144)</f>
        <v>21</v>
      </c>
      <c r="D26" s="89" t="str">
        <f>IF($H$11="","",IF($C26=0,"–",SUMIF('6 Anbietervergleich'!$B$16:$B$144,$B26,'6 Anbietervergleich'!$G$16:$G$144)/($C26*3)))</f>
        <v/>
      </c>
      <c r="E26" s="89" t="str">
        <f>IF($H$12="","",IF($C26=0,"–",SUMIF('6 Anbietervergleich'!$B$16:$B$144,$B26,'6 Anbietervergleich'!$J$16:$J$144)/($C26*3)))</f>
        <v/>
      </c>
      <c r="F26" s="89" t="str">
        <f>IF($H$13="","",IF($C26=0,"–",SUMIF('6 Anbietervergleich'!$B$16:$B$144,$B26,'6 Anbietervergleich'!$M$16:$M$144)/($C26*3)))</f>
        <v/>
      </c>
      <c r="G26" s="89" t="str">
        <f>IF($H$14="","",IF($C26=0,"–",SUMIF('6 Anbietervergleich'!$B$16:$B$144,$B26,'6 Anbietervergleich'!$P$16:$P$144)/($C26*3)))</f>
        <v/>
      </c>
    </row>
    <row r="27" spans="2:7" ht="18" customHeight="1" x14ac:dyDescent="0.2">
      <c r="B27" s="94" t="s">
        <v>142</v>
      </c>
      <c r="C27" s="88">
        <f>SUMIF('6 Anbietervergleich'!$B$16:$B$144,B27,'6 Anbietervergleich'!$D$16:$D$144)</f>
        <v>26</v>
      </c>
      <c r="D27" s="89" t="str">
        <f>IF($H$11="","",IF($C27=0,"–",SUMIF('6 Anbietervergleich'!$B$16:$B$144,$B27,'6 Anbietervergleich'!$G$16:$G$144)/($C27*3)))</f>
        <v/>
      </c>
      <c r="E27" s="89" t="str">
        <f>IF($H$12="","",IF($C27=0,"–",SUMIF('6 Anbietervergleich'!$B$16:$B$144,$B27,'6 Anbietervergleich'!$J$16:$J$144)/($C27*3)))</f>
        <v/>
      </c>
      <c r="F27" s="89" t="str">
        <f>IF($H$13="","",IF($C27=0,"–",SUMIF('6 Anbietervergleich'!$B$16:$B$144,$B27,'6 Anbietervergleich'!$M$16:$M$144)/($C27*3)))</f>
        <v/>
      </c>
      <c r="G27" s="89" t="str">
        <f>IF($H$14="","",IF($C27=0,"–",SUMIF('6 Anbietervergleich'!$B$16:$B$144,$B27,'6 Anbietervergleich'!$P$16:$P$144)/($C27*3)))</f>
        <v/>
      </c>
    </row>
    <row r="28" spans="2:7" ht="18" customHeight="1" x14ac:dyDescent="0.2">
      <c r="B28" s="94" t="s">
        <v>145</v>
      </c>
      <c r="C28" s="88">
        <f>SUMIF('6 Anbietervergleich'!$B$16:$B$144,B28,'6 Anbietervergleich'!$D$16:$D$144)</f>
        <v>25</v>
      </c>
      <c r="D28" s="89" t="str">
        <f>IF($H$11="","",IF($C28=0,"–",SUMIF('6 Anbietervergleich'!$B$16:$B$144,$B28,'6 Anbietervergleich'!$G$16:$G$144)/($C28*3)))</f>
        <v/>
      </c>
      <c r="E28" s="89" t="str">
        <f>IF($H$12="","",IF($C28=0,"–",SUMIF('6 Anbietervergleich'!$B$16:$B$144,$B28,'6 Anbietervergleich'!$J$16:$J$144)/($C28*3)))</f>
        <v/>
      </c>
      <c r="F28" s="89" t="str">
        <f>IF($H$13="","",IF($C28=0,"–",SUMIF('6 Anbietervergleich'!$B$16:$B$144,$B28,'6 Anbietervergleich'!$M$16:$M$144)/($C28*3)))</f>
        <v/>
      </c>
      <c r="G28" s="89" t="str">
        <f>IF($H$14="","",IF($C28=0,"–",SUMIF('6 Anbietervergleich'!$B$16:$B$144,$B28,'6 Anbietervergleich'!$P$16:$P$144)/($C28*3)))</f>
        <v/>
      </c>
    </row>
    <row r="29" spans="2:7" ht="18" customHeight="1" x14ac:dyDescent="0.2">
      <c r="B29" s="94" t="s">
        <v>148</v>
      </c>
      <c r="C29" s="88">
        <f>SUMIF('6 Anbietervergleich'!$B$16:$B$144,B29,'6 Anbietervergleich'!$D$16:$D$144)</f>
        <v>12</v>
      </c>
      <c r="D29" s="89" t="str">
        <f>IF($H$11="","",IF($C29=0,"–",SUMIF('6 Anbietervergleich'!$B$16:$B$144,$B29,'6 Anbietervergleich'!$G$16:$G$144)/($C29*3)))</f>
        <v/>
      </c>
      <c r="E29" s="89" t="str">
        <f>IF($H$12="","",IF($C29=0,"–",SUMIF('6 Anbietervergleich'!$B$16:$B$144,$B29,'6 Anbietervergleich'!$J$16:$J$144)/($C29*3)))</f>
        <v/>
      </c>
      <c r="F29" s="89" t="str">
        <f>IF($H$13="","",IF($C29=0,"–",SUMIF('6 Anbietervergleich'!$B$16:$B$144,$B29,'6 Anbietervergleich'!$M$16:$M$144)/($C29*3)))</f>
        <v/>
      </c>
      <c r="G29" s="89" t="str">
        <f>IF($H$14="","",IF($C29=0,"–",SUMIF('6 Anbietervergleich'!$B$16:$B$144,$B29,'6 Anbietervergleich'!$P$16:$P$144)/($C29*3)))</f>
        <v/>
      </c>
    </row>
    <row r="30" spans="2:7" ht="18" customHeight="1" x14ac:dyDescent="0.2">
      <c r="B30" s="94" t="s">
        <v>151</v>
      </c>
      <c r="C30" s="88">
        <f>SUMIF('6 Anbietervergleich'!$B$16:$B$144,B30,'6 Anbietervergleich'!$D$16:$D$144)</f>
        <v>11</v>
      </c>
      <c r="D30" s="89" t="str">
        <f>IF($H$11="","",IF($C30=0,"–",SUMIF('6 Anbietervergleich'!$B$16:$B$144,$B30,'6 Anbietervergleich'!$G$16:$G$144)/($C30*3)))</f>
        <v/>
      </c>
      <c r="E30" s="89" t="str">
        <f>IF($H$12="","",IF($C30=0,"–",SUMIF('6 Anbietervergleich'!$B$16:$B$144,$B30,'6 Anbietervergleich'!$J$16:$J$144)/($C30*3)))</f>
        <v/>
      </c>
      <c r="F30" s="89" t="str">
        <f>IF($H$13="","",IF($C30=0,"–",SUMIF('6 Anbietervergleich'!$B$16:$B$144,$B30,'6 Anbietervergleich'!$M$16:$M$144)/($C30*3)))</f>
        <v/>
      </c>
      <c r="G30" s="89" t="str">
        <f>IF($H$14="","",IF($C30=0,"–",SUMIF('6 Anbietervergleich'!$B$16:$B$144,$B30,'6 Anbietervergleich'!$P$16:$P$144)/($C30*3)))</f>
        <v/>
      </c>
    </row>
    <row r="31" spans="2:7" ht="18" customHeight="1" x14ac:dyDescent="0.2">
      <c r="B31" s="94" t="s">
        <v>564</v>
      </c>
      <c r="C31" s="88">
        <f>SUMIF('6 Anbietervergleich'!$B$16:$B$144,B31,'6 Anbietervergleich'!$D$16:$D$144)</f>
        <v>22</v>
      </c>
      <c r="D31" s="89" t="str">
        <f>IF($H$11="","",IF($C31=0,"–",SUMIF('6 Anbietervergleich'!$B$16:$B$144,$B31,'6 Anbietervergleich'!$G$16:$G$144)/($C31*3)))</f>
        <v/>
      </c>
      <c r="E31" s="89" t="str">
        <f>IF($H$12="","",IF($C31=0,"–",SUMIF('6 Anbietervergleich'!$B$16:$B$144,$B31,'6 Anbietervergleich'!$J$16:$J$144)/($C31*3)))</f>
        <v/>
      </c>
      <c r="F31" s="89" t="str">
        <f>IF($H$13="","",IF($C31=0,"–",SUMIF('6 Anbietervergleich'!$B$16:$B$144,$B31,'6 Anbietervergleich'!$M$16:$M$144)/($C31*3)))</f>
        <v/>
      </c>
      <c r="G31" s="89" t="str">
        <f>IF($H$14="","",IF($C31=0,"–",SUMIF('6 Anbietervergleich'!$B$16:$B$144,$B31,'6 Anbietervergleich'!$P$16:$P$144)/($C31*3)))</f>
        <v/>
      </c>
    </row>
    <row r="32" spans="2:7" ht="18" customHeight="1" x14ac:dyDescent="0.2">
      <c r="B32" s="94" t="s">
        <v>583</v>
      </c>
      <c r="C32" s="88">
        <f>SUMIF('6 Anbietervergleich'!$B$16:$B$144,B32,'6 Anbietervergleich'!$D$16:$D$144)</f>
        <v>21</v>
      </c>
      <c r="D32" s="89" t="str">
        <f>IF($H$11="","",IF($C32=0,"–",SUMIF('6 Anbietervergleich'!$B$16:$B$144,$B32,'6 Anbietervergleich'!$G$16:$G$144)/($C32*3)))</f>
        <v/>
      </c>
      <c r="E32" s="89" t="str">
        <f>IF($H$12="","",IF($C32=0,"–",SUMIF('6 Anbietervergleich'!$B$16:$B$144,$B32,'6 Anbietervergleich'!$J$16:$J$144)/($C32*3)))</f>
        <v/>
      </c>
      <c r="F32" s="89" t="str">
        <f>IF($H$13="","",IF($C32=0,"–",SUMIF('6 Anbietervergleich'!$B$16:$B$144,$B32,'6 Anbietervergleich'!$M$16:$M$144)/($C32*3)))</f>
        <v/>
      </c>
      <c r="G32" s="89" t="str">
        <f>IF($H$14="","",IF($C32=0,"–",SUMIF('6 Anbietervergleich'!$B$16:$B$144,$B32,'6 Anbietervergleich'!$P$16:$P$144)/($C32*3)))</f>
        <v/>
      </c>
    </row>
    <row r="33" spans="2:7" ht="18" customHeight="1" x14ac:dyDescent="0.2">
      <c r="B33" s="94" t="s">
        <v>599</v>
      </c>
      <c r="C33" s="88">
        <f>SUMIF('6 Anbietervergleich'!$B$16:$B$144,B33,'6 Anbietervergleich'!$D$16:$D$144)</f>
        <v>24</v>
      </c>
      <c r="D33" s="89" t="str">
        <f>IF($H$11="","",IF($C33=0,"–",SUMIF('6 Anbietervergleich'!$B$16:$B$144,$B33,'6 Anbietervergleich'!$G$16:$G$144)/($C33*3)))</f>
        <v/>
      </c>
      <c r="E33" s="89" t="str">
        <f>IF($H$12="","",IF($C33=0,"–",SUMIF('6 Anbietervergleich'!$B$16:$B$144,$B33,'6 Anbietervergleich'!$J$16:$J$144)/($C33*3)))</f>
        <v/>
      </c>
      <c r="F33" s="89" t="str">
        <f>IF($H$13="","",IF($C33=0,"–",SUMIF('6 Anbietervergleich'!$B$16:$B$144,$B33,'6 Anbietervergleich'!$M$16:$M$144)/($C33*3)))</f>
        <v/>
      </c>
      <c r="G33" s="89" t="str">
        <f>IF($H$14="","",IF($C33=0,"–",SUMIF('6 Anbietervergleich'!$B$16:$B$144,$B33,'6 Anbietervergleich'!$P$16:$P$144)/($C33*3)))</f>
        <v/>
      </c>
    </row>
    <row r="34" spans="2:7" ht="18" customHeight="1" x14ac:dyDescent="0.2">
      <c r="B34" s="94" t="s">
        <v>618</v>
      </c>
      <c r="C34" s="88">
        <f>SUMIF('6 Anbietervergleich'!$B$16:$B$144,B34,'6 Anbietervergleich'!$D$16:$D$144)</f>
        <v>15</v>
      </c>
      <c r="D34" s="89" t="str">
        <f>IF($H$11="","",IF($C34=0,"–",SUMIF('6 Anbietervergleich'!$B$16:$B$144,$B34,'6 Anbietervergleich'!$G$16:$G$144)/($C34*3)))</f>
        <v/>
      </c>
      <c r="E34" s="89" t="str">
        <f>IF($H$12="","",IF($C34=0,"–",SUMIF('6 Anbietervergleich'!$B$16:$B$144,$B34,'6 Anbietervergleich'!$J$16:$J$144)/($C34*3)))</f>
        <v/>
      </c>
      <c r="F34" s="89" t="str">
        <f>IF($H$13="","",IF($C34=0,"–",SUMIF('6 Anbietervergleich'!$B$16:$B$144,$B34,'6 Anbietervergleich'!$M$16:$M$144)/($C34*3)))</f>
        <v/>
      </c>
      <c r="G34" s="89" t="str">
        <f>IF($H$14="","",IF($C34=0,"–",SUMIF('6 Anbietervergleich'!$B$16:$B$144,$B34,'6 Anbietervergleich'!$P$16:$P$144)/($C34*3)))</f>
        <v/>
      </c>
    </row>
    <row r="35" spans="2:7" ht="18" customHeight="1" x14ac:dyDescent="0.2">
      <c r="B35" s="94" t="s">
        <v>634</v>
      </c>
      <c r="C35" s="88">
        <f>SUMIF('6 Anbietervergleich'!$B$16:$B$144,B35,'6 Anbietervergleich'!$D$16:$D$144)</f>
        <v>0</v>
      </c>
      <c r="D35" s="89" t="str">
        <f>IF($H$11="","",IF($C35=0,"–",SUMIF('6 Anbietervergleich'!$B$16:$B$144,$B35,'6 Anbietervergleich'!$G$16:$G$144)/($C35*3)))</f>
        <v/>
      </c>
      <c r="E35" s="89" t="str">
        <f>IF($H$12="","",IF($C35=0,"–",SUMIF('6 Anbietervergleich'!$B$16:$B$144,$B35,'6 Anbietervergleich'!$J$16:$J$144)/($C35*3)))</f>
        <v/>
      </c>
      <c r="F35" s="89" t="str">
        <f>IF($H$13="","",IF($C35=0,"–",SUMIF('6 Anbietervergleich'!$B$16:$B$144,$B35,'6 Anbietervergleich'!$M$16:$M$144)/($C35*3)))</f>
        <v/>
      </c>
      <c r="G35" s="89" t="str">
        <f>IF($H$14="","",IF($C35=0,"–",SUMIF('6 Anbietervergleich'!$B$16:$B$144,$B35,'6 Anbietervergleich'!$P$16:$P$144)/($C35*3)))</f>
        <v/>
      </c>
    </row>
  </sheetData>
  <mergeCells count="17">
    <mergeCell ref="M6:N6"/>
    <mergeCell ref="B7:N7"/>
    <mergeCell ref="B9:N9"/>
    <mergeCell ref="B15:N16"/>
    <mergeCell ref="B18:G18"/>
    <mergeCell ref="C6:D6"/>
    <mergeCell ref="E6:F6"/>
    <mergeCell ref="G6:H6"/>
    <mergeCell ref="I6:J6"/>
    <mergeCell ref="K6:L6"/>
    <mergeCell ref="B4:N4"/>
    <mergeCell ref="C5:D5"/>
    <mergeCell ref="E5:F5"/>
    <mergeCell ref="G5:H5"/>
    <mergeCell ref="I5:J5"/>
    <mergeCell ref="K5:L5"/>
    <mergeCell ref="M5:N5"/>
  </mergeCells>
  <conditionalFormatting sqref="B20:G35">
    <cfRule type="expression" dxfId="6" priority="10">
      <formula>$C20=0</formula>
    </cfRule>
  </conditionalFormatting>
  <conditionalFormatting sqref="D20:G35">
    <cfRule type="colorScale" priority="9">
      <colorScale>
        <cfvo type="num" val="0"/>
        <cfvo type="num" val="0.5"/>
        <cfvo type="num" val="1"/>
        <color rgb="FFF8CBAD"/>
        <color rgb="FFFFEB84"/>
        <color rgb="FF8CC79F"/>
      </colorScale>
    </cfRule>
  </conditionalFormatting>
  <conditionalFormatting sqref="E11:E14">
    <cfRule type="dataBar" priority="2">
      <dataBar>
        <cfvo type="num" val="0"/>
        <cfvo type="num" val="1"/>
        <color rgb="FF6FA287"/>
      </dataBar>
      <extLst>
        <ext xmlns:x14="http://schemas.microsoft.com/office/spreadsheetml/2009/9/main" uri="{B025F937-C7B1-47D3-B67F-A62EFF666E3E}">
          <x14:id>{EB729D98-6026-47E0-A750-5E26B5FE8215}</x14:id>
        </ext>
      </extLst>
    </cfRule>
  </conditionalFormatting>
  <conditionalFormatting sqref="F11:F14">
    <cfRule type="expression" dxfId="5" priority="8">
      <formula>F11&gt;0</formula>
    </cfRule>
  </conditionalFormatting>
  <conditionalFormatting sqref="H11:H14">
    <cfRule type="expression" dxfId="4" priority="3">
      <formula>H11="Ausgeschlossen (KO)"</formula>
    </cfRule>
    <cfRule type="expression" dxfId="3" priority="4">
      <formula>H11="Im Rennen"</formula>
    </cfRule>
    <cfRule type="expression" dxfId="2" priority="5">
      <formula>H11="Bewertung offen"</formula>
    </cfRule>
  </conditionalFormatting>
  <conditionalFormatting sqref="M11:M14">
    <cfRule type="expression" dxfId="1" priority="6">
      <formula>M11="Nein"</formula>
    </cfRule>
  </conditionalFormatting>
  <conditionalFormatting sqref="N11:N14">
    <cfRule type="expression" dxfId="0" priority="7">
      <formula>N11=1</formula>
    </cfRule>
  </conditionalFormatting>
  <pageMargins left="0.4" right="0.4" top="0.5" bottom="0.5" header="0.511811023622047" footer="0.5"/>
  <pageSetup paperSize="9" fitToHeight="0" orientation="landscape" horizontalDpi="300" verticalDpi="300"/>
  <headerFooter>
    <oddFooter>&amp;L&amp;8 Dr. Koch · System-Check Software-Evaluation&amp;R&amp;8 Seite &amp;P von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729D98-6026-47E0-A750-5E26B5FE8215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6FA287"/>
            </x14:dataBar>
          </x14:cfRule>
          <xm:sqref>E11:E14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0"/>
  <sheetViews>
    <sheetView showGridLines="0" zoomScaleNormal="100" workbookViewId="0"/>
  </sheetViews>
  <sheetFormatPr baseColWidth="10" defaultColWidth="8.6640625" defaultRowHeight="15" x14ac:dyDescent="0.2"/>
  <sheetData>
    <row r="1" spans="1:12" x14ac:dyDescent="0.2">
      <c r="A1" s="74" t="s">
        <v>685</v>
      </c>
      <c r="B1" s="74" t="s">
        <v>686</v>
      </c>
      <c r="C1" s="74" t="s">
        <v>57</v>
      </c>
      <c r="D1" s="74" t="s">
        <v>687</v>
      </c>
      <c r="E1" s="74" t="s">
        <v>198</v>
      </c>
      <c r="F1" s="74" t="s">
        <v>688</v>
      </c>
      <c r="G1" s="74" t="s">
        <v>246</v>
      </c>
      <c r="H1" s="74" t="s">
        <v>689</v>
      </c>
      <c r="I1" s="74" t="s">
        <v>28</v>
      </c>
      <c r="J1" s="74" t="s">
        <v>32</v>
      </c>
      <c r="K1" s="74" t="s">
        <v>305</v>
      </c>
      <c r="L1" s="74" t="s">
        <v>690</v>
      </c>
    </row>
    <row r="2" spans="1:12" x14ac:dyDescent="0.2">
      <c r="A2" t="s">
        <v>691</v>
      </c>
      <c r="B2" t="s">
        <v>692</v>
      </c>
      <c r="C2" t="s">
        <v>693</v>
      </c>
      <c r="D2" t="s">
        <v>694</v>
      </c>
      <c r="E2" t="s">
        <v>208</v>
      </c>
      <c r="F2" t="s">
        <v>695</v>
      </c>
      <c r="G2" t="s">
        <v>188</v>
      </c>
      <c r="H2">
        <v>1</v>
      </c>
      <c r="I2">
        <v>1</v>
      </c>
      <c r="J2">
        <v>0</v>
      </c>
      <c r="K2" t="s">
        <v>696</v>
      </c>
      <c r="L2" t="s">
        <v>691</v>
      </c>
    </row>
    <row r="3" spans="1:12" x14ac:dyDescent="0.2">
      <c r="A3" t="s">
        <v>697</v>
      </c>
      <c r="B3" t="s">
        <v>133</v>
      </c>
      <c r="C3" t="s">
        <v>698</v>
      </c>
      <c r="D3" t="s">
        <v>699</v>
      </c>
      <c r="E3" t="s">
        <v>700</v>
      </c>
      <c r="F3" t="s">
        <v>252</v>
      </c>
      <c r="G3" t="s">
        <v>185</v>
      </c>
      <c r="H3">
        <v>2</v>
      </c>
      <c r="I3">
        <v>3</v>
      </c>
      <c r="J3">
        <v>1</v>
      </c>
      <c r="L3" t="s">
        <v>701</v>
      </c>
    </row>
    <row r="4" spans="1:12" x14ac:dyDescent="0.2">
      <c r="B4" t="s">
        <v>136</v>
      </c>
      <c r="C4" t="s">
        <v>702</v>
      </c>
      <c r="D4" t="s">
        <v>703</v>
      </c>
      <c r="E4" t="s">
        <v>704</v>
      </c>
      <c r="F4" t="s">
        <v>705</v>
      </c>
      <c r="G4" t="s">
        <v>182</v>
      </c>
      <c r="H4">
        <v>3</v>
      </c>
      <c r="I4">
        <v>5</v>
      </c>
      <c r="J4">
        <v>2</v>
      </c>
      <c r="L4" t="s">
        <v>697</v>
      </c>
    </row>
    <row r="5" spans="1:12" x14ac:dyDescent="0.2">
      <c r="B5" t="s">
        <v>139</v>
      </c>
      <c r="C5" t="s">
        <v>706</v>
      </c>
      <c r="D5" t="s">
        <v>707</v>
      </c>
      <c r="E5" t="s">
        <v>705</v>
      </c>
      <c r="F5" t="s">
        <v>708</v>
      </c>
      <c r="H5">
        <v>4</v>
      </c>
      <c r="J5">
        <v>3</v>
      </c>
    </row>
    <row r="6" spans="1:12" x14ac:dyDescent="0.2">
      <c r="B6" t="s">
        <v>220</v>
      </c>
      <c r="C6" t="s">
        <v>709</v>
      </c>
      <c r="D6" t="s">
        <v>710</v>
      </c>
      <c r="E6" t="s">
        <v>711</v>
      </c>
      <c r="H6">
        <v>5</v>
      </c>
    </row>
    <row r="7" spans="1:12" x14ac:dyDescent="0.2">
      <c r="B7" t="s">
        <v>712</v>
      </c>
      <c r="C7" t="s">
        <v>713</v>
      </c>
      <c r="D7" t="s">
        <v>714</v>
      </c>
    </row>
    <row r="8" spans="1:12" x14ac:dyDescent="0.2">
      <c r="B8" t="s">
        <v>715</v>
      </c>
      <c r="C8" t="s">
        <v>716</v>
      </c>
    </row>
    <row r="9" spans="1:12" x14ac:dyDescent="0.2">
      <c r="C9" t="s">
        <v>717</v>
      </c>
    </row>
    <row r="10" spans="1:12" x14ac:dyDescent="0.2">
      <c r="C10" t="s">
        <v>718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29</vt:i4>
      </vt:variant>
    </vt:vector>
  </HeadingPairs>
  <TitlesOfParts>
    <vt:vector size="38" baseType="lpstr">
      <vt:lpstr>Start</vt:lpstr>
      <vt:lpstr>1 Bedarfscheck</vt:lpstr>
      <vt:lpstr>2 Systemlandschaft</vt:lpstr>
      <vt:lpstr>3 Datenflüsse</vt:lpstr>
      <vt:lpstr>4 Kriterien</vt:lpstr>
      <vt:lpstr>5 Fragebogen</vt:lpstr>
      <vt:lpstr>6 Anbietervergleich</vt:lpstr>
      <vt:lpstr>7 Auswertung</vt:lpstr>
      <vt:lpstr>Listen</vt:lpstr>
      <vt:lpstr>Anlass</vt:lpstr>
      <vt:lpstr>Bereichstabelle</vt:lpstr>
      <vt:lpstr>Betrieb</vt:lpstr>
      <vt:lpstr>Betriebstyp</vt:lpstr>
      <vt:lpstr>Betriebswochen</vt:lpstr>
      <vt:lpstr>Budget_einmalig</vt:lpstr>
      <vt:lpstr>Budget_monat</vt:lpstr>
      <vt:lpstr>Entscheid</vt:lpstr>
      <vt:lpstr>Fokus</vt:lpstr>
      <vt:lpstr>FokusEff</vt:lpstr>
      <vt:lpstr>Mitarbeitende</vt:lpstr>
      <vt:lpstr>Oeffnungstage</vt:lpstr>
      <vt:lpstr>'2 Systemlandschaft'!Print_Titles</vt:lpstr>
      <vt:lpstr>'3 Datenflüsse'!Print_Titles</vt:lpstr>
      <vt:lpstr>'4 Kriterien'!Print_Titles</vt:lpstr>
      <vt:lpstr>'5 Fragebogen'!Print_Titles</vt:lpstr>
      <vt:lpstr>'6 Anbietervergleich'!Print_Titles</vt:lpstr>
      <vt:lpstr>Q_EVENT</vt:lpstr>
      <vt:lpstr>Q_MKT</vt:lpstr>
      <vt:lpstr>Q_ONLINE</vt:lpstr>
      <vt:lpstr>Q_PERS</vt:lpstr>
      <vt:lpstr>Q_PMS</vt:lpstr>
      <vt:lpstr>Q_RES</vt:lpstr>
      <vt:lpstr>Q_WAWI</vt:lpstr>
      <vt:lpstr>Sitzplaetze</vt:lpstr>
      <vt:lpstr>Standorte</vt:lpstr>
      <vt:lpstr>Stundenansatz</vt:lpstr>
      <vt:lpstr>Umsatz</vt:lpstr>
      <vt:lpstr>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System-Check &amp; Software-Evaluation</dc:title>
  <dc:subject/>
  <dc:creator>Dr. Koch Consultancy GmbH</dc:creator>
  <dc:description/>
  <cp:lastModifiedBy>Schefer Nico (scfi)</cp:lastModifiedBy>
  <cp:revision>1</cp:revision>
  <dcterms:created xsi:type="dcterms:W3CDTF">2026-10-11T10:35:51Z</dcterms:created>
  <dcterms:modified xsi:type="dcterms:W3CDTF">2026-10-11T17:08:40Z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2026-10-11T17:08:40Z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7cf9f831-8df8-4719-940d-ea1f1d5741f8</vt:lpwstr>
  </property>
  <property fmtid="{D5CDD505-2E9C-101B-9397-08002B2CF9AE}" pid="8" name="MSIP_Label_10d9bad3-6dac-4e9a-89a3-89f3b8d247b2_ContentBits">
    <vt:lpwstr>0</vt:lpwstr>
  </property>
  <property fmtid="{D5CDD505-2E9C-101B-9397-08002B2CF9AE}" pid="9" name="MSIP_Label_10d9bad3-6dac-4e9a-89a3-89f3b8d247b2_Tag">
    <vt:lpwstr>50, 3, 0, 1</vt:lpwstr>
  </property>
</Properties>
</file>